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autoCompressPictures="0"/>
  <mc:AlternateContent xmlns:mc="http://schemas.openxmlformats.org/markup-compatibility/2006">
    <mc:Choice Requires="x15">
      <x15ac:absPath xmlns:x15ac="http://schemas.microsoft.com/office/spreadsheetml/2010/11/ac" url="I:\Certifications\EMRT Extended Mineral Reporting Template\"/>
    </mc:Choice>
  </mc:AlternateContent>
  <xr:revisionPtr revIDLastSave="0" documentId="13_ncr:1_{0F001B38-29A0-42D5-8537-8423DBBFECEF}"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80" windowWidth="29040" windowHeight="1584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c r="J316" i="8"/>
  <c r="K316" i="8"/>
  <c r="J317" i="8"/>
  <c r="K317" i="8"/>
  <c r="C5" i="5"/>
  <c r="C6" i="5"/>
  <c r="AD6" i="5"/>
  <c r="C7" i="5"/>
  <c r="AD7" i="5"/>
  <c r="C8" i="5"/>
  <c r="AD8" i="5"/>
  <c r="AD9" i="5"/>
  <c r="AD10" i="5"/>
  <c r="AD11" i="5"/>
  <c r="AD12" i="5"/>
  <c r="AD13"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AC9" i="5"/>
  <c r="AC10" i="5"/>
  <c r="AC11" i="5"/>
  <c r="AC12" i="5"/>
  <c r="AC13"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X12" i="5"/>
  <c r="T12" i="5"/>
  <c r="S12" i="5"/>
  <c r="R12" i="5"/>
  <c r="AB11" i="5"/>
  <c r="V11" i="5"/>
  <c r="X11" i="5"/>
  <c r="J11" i="5"/>
  <c r="T11" i="5"/>
  <c r="S11" i="5"/>
  <c r="R11" i="5"/>
  <c r="I11" i="5"/>
  <c r="H11" i="5"/>
  <c r="G11" i="5"/>
  <c r="F11" i="5"/>
  <c r="AB10" i="5"/>
  <c r="V10" i="5"/>
  <c r="X10" i="5"/>
  <c r="J10" i="5"/>
  <c r="T10" i="5"/>
  <c r="S10" i="5"/>
  <c r="R10" i="5"/>
  <c r="I10" i="5"/>
  <c r="H10" i="5"/>
  <c r="G10" i="5"/>
  <c r="F10" i="5"/>
  <c r="AB9" i="5"/>
  <c r="V9" i="5"/>
  <c r="X9" i="5"/>
  <c r="J9" i="5"/>
  <c r="T9" i="5"/>
  <c r="S9" i="5"/>
  <c r="R9" i="5"/>
  <c r="I9" i="5"/>
  <c r="H9" i="5"/>
  <c r="G9" i="5"/>
  <c r="F9" i="5"/>
  <c r="AB8" i="5"/>
  <c r="V8" i="5"/>
  <c r="E8" i="5"/>
  <c r="X8" i="5"/>
  <c r="J8" i="5"/>
  <c r="S8" i="5"/>
  <c r="T8" i="5"/>
  <c r="R8" i="5"/>
  <c r="I8" i="5"/>
  <c r="H8" i="5"/>
  <c r="G8" i="5"/>
  <c r="F8" i="5"/>
  <c r="AB7" i="5"/>
  <c r="V7" i="5"/>
  <c r="E7" i="5"/>
  <c r="X7" i="5"/>
  <c r="J7" i="5"/>
  <c r="S7" i="5"/>
  <c r="T7" i="5"/>
  <c r="R7" i="5"/>
  <c r="I7" i="5"/>
  <c r="H7" i="5"/>
  <c r="G7" i="5"/>
  <c r="F7" i="5"/>
  <c r="AB6" i="5"/>
  <c r="V6" i="5"/>
  <c r="E6" i="5"/>
  <c r="X6" i="5"/>
  <c r="J6" i="5"/>
  <c r="S6" i="5"/>
  <c r="T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F124" i="6"/>
  <c r="D4" i="5"/>
  <c r="E4" i="5"/>
  <c r="V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<sst xmlns="http://schemas.openxmlformats.org/spreadsheetml/2006/main" count="28517" uniqueCount="20178">
  <si>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</si>
  <si>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</si>
  <si>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</si>
  <si>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</si>
  <si>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</si>
  <si>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</si>
  <si>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</si>
  <si>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</si>
  <si>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</si>
  <si>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</si>
  <si>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</si>
  <si>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</si>
  <si>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</si>
  <si>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</si>
  <si>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</si>
  <si>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</si>
  <si>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</si>
  <si>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</si>
  <si>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</si>
  <si>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</si>
  <si>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</si>
  <si>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</si>
  <si>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</si>
  <si>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</si>
  <si>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</si>
  <si>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</si>
  <si>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</si>
  <si>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</si>
  <si>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</si>
  <si>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</si>
  <si>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</si>
  <si>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</si>
  <si>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</si>
  <si>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</si>
  <si>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</si>
  <si>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</si>
  <si>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</si>
  <si>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</si>
  <si>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</si>
  <si>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</si>
  <si>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</si>
  <si>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</si>
  <si>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</si>
  <si>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</si>
  <si>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</si>
  <si>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</si>
  <si>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</si>
  <si>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</si>
  <si>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</si>
  <si>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</si>
  <si>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</si>
  <si>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</si>
  <si>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</si>
  <si>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</si>
  <si>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</si>
  <si>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</si>
  <si>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</si>
  <si>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</si>
  <si>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</si>
  <si>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</si>
  <si>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</si>
  <si>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</si>
  <si>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</si>
  <si>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</si>
  <si>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</si>
  <si>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</si>
  <si>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</si>
  <si>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</si>
  <si>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</si>
  <si>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</si>
  <si>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</si>
  <si>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</si>
  <si>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</si>
  <si>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</si>
  <si>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</si>
  <si>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</si>
  <si>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</si>
  <si>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</si>
  <si>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</si>
  <si>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</si>
  <si>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</si>
  <si>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</si>
  <si>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</si>
  <si>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</si>
  <si>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</si>
  <si>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</si>
  <si>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</si>
  <si>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</si>
  <si>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</si>
  <si>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</si>
  <si>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</si>
  <si>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</si>
  <si>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</si>
  <si>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</si>
  <si>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</si>
  <si>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</si>
  <si>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</si>
  <si>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</si>
  <si>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</si>
  <si>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</si>
  <si>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</si>
  <si>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</si>
  <si>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</si>
  <si>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</si>
  <si>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</si>
  <si>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</si>
  <si>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</si>
  <si>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</si>
  <si>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</si>
  <si>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</si>
  <si>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</si>
  <si>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</si>
  <si>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</si>
  <si>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</si>
  <si>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</si>
  <si>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</si>
  <si>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</si>
  <si>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</si>
  <si>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</si>
  <si>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</si>
  <si>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</si>
  <si>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</si>
  <si>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</si>
  <si>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</si>
  <si>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</si>
  <si>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</si>
  <si>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</si>
  <si>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</si>
  <si>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</si>
  <si>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</si>
  <si>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</si>
  <si>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</si>
  <si>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</si>
  <si>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</si>
  <si>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</si>
  <si>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</si>
  <si>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</si>
  <si>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</si>
  <si>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</si>
  <si>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</si>
  <si>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</si>
  <si>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</si>
  <si>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</si>
  <si>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</si>
  <si>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</si>
  <si>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</si>
  <si>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</si>
  <si>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</si>
  <si>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</si>
  <si>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</si>
  <si>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</si>
  <si>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</si>
  <si>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</si>
  <si>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</si>
  <si>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</si>
  <si>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</si>
  <si>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</si>
  <si>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</si>
  <si>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</si>
  <si>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</si>
  <si>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</si>
  <si>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</si>
  <si>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</si>
  <si>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</si>
  <si>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</si>
  <si>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</si>
  <si>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</si>
  <si>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</si>
  <si>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</si>
  <si>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</si>
  <si>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</si>
  <si>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</si>
  <si>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</si>
  <si>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</si>
  <si>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</si>
  <si>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</si>
  <si>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</si>
  <si>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</si>
  <si>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</si>
  <si>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</si>
  <si>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</si>
  <si>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</si>
  <si>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</si>
  <si>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</si>
  <si>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</si>
  <si>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</si>
  <si>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</si>
  <si>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</si>
  <si>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</si>
  <si>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</si>
  <si>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</si>
  <si>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</si>
  <si>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</si>
  <si>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</si>
  <si>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</si>
  <si>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</si>
  <si>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</si>
  <si>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</si>
  <si>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</si>
  <si>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</si>
  <si>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</si>
  <si>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</si>
  <si>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</si>
  <si>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</si>
  <si>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</si>
  <si>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</si>
  <si>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</si>
  <si>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</si>
  <si>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</si>
  <si>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</si>
  <si>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</si>
  <si>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</si>
  <si>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</si>
  <si>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</si>
  <si>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</si>
  <si>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</si>
  <si>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</si>
  <si>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</si>
  <si>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</si>
  <si>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</si>
  <si>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</si>
  <si>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</si>
  <si>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</si>
  <si>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</si>
  <si>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</si>
  <si>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</si>
  <si>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</si>
  <si>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</si>
  <si>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</si>
  <si>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</si>
  <si>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</si>
  <si>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</si>
  <si>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</si>
  <si>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</si>
  <si>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</si>
  <si>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</si>
  <si>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</si>
  <si>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</si>
  <si>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</si>
  <si>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</si>
  <si>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</si>
  <si>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</si>
  <si>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</si>
  <si>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</si>
  <si>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</si>
  <si>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</si>
  <si>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</si>
  <si>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</si>
  <si>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</si>
  <si>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</si>
  <si>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</si>
  <si>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</si>
  <si>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</si>
  <si>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</si>
  <si>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</si>
  <si>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</si>
  <si>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</si>
  <si>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</si>
  <si>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</si>
  <si>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</si>
  <si>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</si>
  <si>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</si>
  <si>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</si>
  <si>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</si>
  <si>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</si>
  <si>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</si>
  <si>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</si>
  <si>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</si>
  <si>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</si>
  <si>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</si>
  <si>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</si>
  <si>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</si>
  <si>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</si>
  <si>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</si>
  <si>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</si>
  <si>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</si>
  <si>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</si>
  <si>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</si>
  <si>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</si>
  <si>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</si>
  <si>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</si>
  <si>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</si>
  <si>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</si>
  <si>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</si>
  <si>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</si>
  <si>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</si>
  <si>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</si>
  <si>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</si>
  <si>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</si>
  <si>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</si>
  <si>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</si>
  <si>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</si>
  <si>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</si>
  <si>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</si>
  <si>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</si>
  <si>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</si>
  <si>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</si>
  <si>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</si>
  <si>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</si>
  <si>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</si>
  <si>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</si>
  <si>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</si>
  <si>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</si>
  <si>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</si>
  <si>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</si>
  <si>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</si>
  <si>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</si>
  <si>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</si>
  <si>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</si>
  <si>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</si>
  <si>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</si>
  <si>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</si>
  <si>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</si>
  <si>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</si>
  <si>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</si>
  <si>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</si>
  <si>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</si>
  <si>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</si>
  <si>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</si>
  <si>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</si>
  <si>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</si>
  <si>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</si>
  <si>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</si>
  <si>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</si>
  <si>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</si>
  <si>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</si>
  <si>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</si>
  <si>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</si>
  <si>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</si>
  <si>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</si>
  <si>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</si>
  <si>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</si>
  <si>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</si>
  <si>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</si>
  <si>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</si>
  <si>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</si>
  <si>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</si>
  <si>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</si>
  <si>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</si>
  <si>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</si>
  <si>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</si>
  <si>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</si>
  <si>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</si>
  <si>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</si>
  <si>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</si>
  <si>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</si>
  <si>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</si>
  <si>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</si>
  <si>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</si>
  <si>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</si>
  <si>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</si>
  <si>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</si>
  <si>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</si>
  <si>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</si>
  <si>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</si>
  <si>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</si>
  <si>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</si>
  <si>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</si>
  <si>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</si>
  <si>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</si>
  <si>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</si>
  <si>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</si>
  <si>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</si>
  <si>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</si>
  <si>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</si>
  <si>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</si>
  <si>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</si>
  <si>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</si>
  <si>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</si>
  <si>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</si>
  <si>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</si>
  <si>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</si>
  <si>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</si>
  <si>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</si>
  <si>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</si>
  <si>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</si>
  <si>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</si>
  <si>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</si>
  <si>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</si>
  <si>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</si>
  <si>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</si>
  <si>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</si>
  <si>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</si>
  <si>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</si>
  <si>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</si>
  <si>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</si>
  <si>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</si>
  <si>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</si>
  <si>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</si>
  <si>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</si>
  <si>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</si>
  <si>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</si>
  <si>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</si>
  <si>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</si>
  <si>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</si>
  <si>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</si>
  <si>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</si>
  <si>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</si>
  <si>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</si>
  <si>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</si>
  <si>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</si>
  <si>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</si>
  <si>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</si>
  <si>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</si>
  <si>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</si>
  <si>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</si>
  <si>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</si>
  <si>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</si>
  <si>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</si>
  <si>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</si>
  <si>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</si>
  <si>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</si>
  <si>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</si>
  <si>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</si>
  <si>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</si>
  <si>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</si>
  <si>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</si>
  <si>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</si>
  <si>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</si>
  <si>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</si>
  <si>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</si>
  <si>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</si>
  <si>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</si>
  <si>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</si>
  <si>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</si>
  <si>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</si>
  <si>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</si>
  <si>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</si>
  <si>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</si>
  <si>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</si>
  <si>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</si>
  <si>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</si>
  <si>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</si>
  <si>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</si>
  <si>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</si>
  <si>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</si>
  <si>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</si>
  <si>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</si>
  <si>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</si>
  <si>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</si>
  <si>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</si>
  <si>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</si>
  <si>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</si>
  <si>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</si>
  <si>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</si>
  <si>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</si>
  <si>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</si>
  <si>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</si>
  <si>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</si>
  <si>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</si>
  <si>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</si>
  <si>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</si>
  <si>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</si>
  <si>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</si>
  <si>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</si>
  <si>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</si>
  <si>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</si>
  <si>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</si>
  <si>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</si>
  <si>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</si>
  <si>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</si>
  <si>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</si>
  <si>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</si>
  <si>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</si>
  <si>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</si>
  <si>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</si>
  <si>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</si>
  <si>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</si>
  <si>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</si>
  <si>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</si>
  <si>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</si>
  <si>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</si>
  <si>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</si>
  <si>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</si>
  <si>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</si>
  <si>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</si>
  <si>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</si>
  <si>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</si>
  <si>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</si>
  <si>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</si>
  <si>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</si>
  <si>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</si>
  <si>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</si>
  <si>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</si>
  <si>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</si>
  <si>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</si>
  <si>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</si>
  <si>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</si>
  <si>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</si>
  <si>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</si>
  <si>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</si>
  <si>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</si>
  <si>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</si>
  <si>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</si>
  <si>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</si>
  <si>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</si>
  <si>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</si>
  <si>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</si>
  <si>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</si>
  <si>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</si>
  <si>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</si>
  <si>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</si>
  <si>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</si>
  <si>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</si>
  <si>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</si>
  <si>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</si>
  <si>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</si>
  <si>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</si>
  <si>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</si>
  <si>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</si>
  <si>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</si>
  <si>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</si>
  <si>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</si>
  <si>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</si>
  <si>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</si>
  <si>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</si>
  <si>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</si>
  <si>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</si>
  <si>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</si>
  <si>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</si>
  <si>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</si>
  <si>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</si>
  <si>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</si>
  <si>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</si>
  <si>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</si>
  <si>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</si>
  <si>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</si>
  <si>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</si>
  <si>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</si>
  <si>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</si>
  <si>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</si>
  <si>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</si>
  <si>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</si>
  <si>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</si>
  <si>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</si>
  <si>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</si>
  <si>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</si>
  <si>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</si>
  <si>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</si>
  <si>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</si>
  <si>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</si>
  <si>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</si>
  <si>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</si>
  <si>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</si>
  <si>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</si>
  <si>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</si>
  <si>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</si>
  <si>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</si>
  <si>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</si>
  <si>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</si>
  <si>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</si>
  <si>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</si>
  <si>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</si>
  <si>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</si>
  <si>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</si>
  <si>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</si>
  <si>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</si>
  <si>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</si>
  <si>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</si>
  <si>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</si>
  <si>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</si>
  <si>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</si>
  <si>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</si>
  <si>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</si>
  <si>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</si>
  <si>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</si>
  <si>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</si>
  <si>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</si>
  <si>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</si>
  <si>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</si>
  <si>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</si>
  <si>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</si>
  <si>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</si>
  <si>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</si>
  <si>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</si>
  <si>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</si>
  <si>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</si>
  <si>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</si>
  <si>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</si>
  <si>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</si>
  <si>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</si>
  <si>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</si>
  <si>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</si>
  <si>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</si>
  <si>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</si>
  <si>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</si>
  <si>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</si>
  <si>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</si>
  <si>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</si>
  <si>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</si>
  <si>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</si>
  <si>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</si>
  <si>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</si>
  <si>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</si>
  <si>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</si>
  <si>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</si>
  <si>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</si>
  <si>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</si>
  <si>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</si>
  <si>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</si>
  <si>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</si>
  <si>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</si>
  <si>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</si>
  <si>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</si>
  <si>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</si>
  <si>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</si>
  <si>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</si>
  <si>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</si>
  <si>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</si>
  <si>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</si>
  <si>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</si>
  <si>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</si>
  <si>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</si>
  <si>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</si>
  <si>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</si>
  <si>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</si>
  <si>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</si>
  <si>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</si>
  <si>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</si>
  <si>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</si>
  <si>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</si>
  <si>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</si>
  <si>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</si>
  <si>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</si>
  <si>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</si>
  <si>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</si>
  <si>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</si>
  <si>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</si>
  <si>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</si>
  <si>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</si>
  <si>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</si>
  <si>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</si>
  <si>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</si>
  <si>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</si>
  <si>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</si>
  <si>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</si>
  <si>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</si>
  <si>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</si>
  <si>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</si>
  <si>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</si>
  <si>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</si>
  <si>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</si>
  <si>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</si>
  <si>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</si>
  <si>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</si>
  <si>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</si>
  <si>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</si>
  <si>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</si>
  <si>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</si>
  <si>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</si>
  <si>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</si>
  <si>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</si>
  <si>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</si>
  <si>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</si>
  <si>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</si>
  <si>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</si>
  <si>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</si>
  <si>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</si>
  <si>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</si>
  <si>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</si>
  <si>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</si>
  <si>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</si>
  <si>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</si>
  <si>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</si>
  <si>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</si>
  <si>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</si>
  <si>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</si>
  <si>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</si>
  <si>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</si>
  <si>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</si>
  <si>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</si>
  <si>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</si>
  <si>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</si>
  <si>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</si>
  <si>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</si>
  <si>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</si>
  <si>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</si>
  <si>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</si>
  <si>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</si>
  <si>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</si>
  <si>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</si>
  <si>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</si>
  <si>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</si>
  <si>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</si>
  <si>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</si>
  <si>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</si>
  <si>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</si>
  <si>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</si>
  <si>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</si>
  <si>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</si>
  <si>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</si>
  <si>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</si>
  <si>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</si>
  <si>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</si>
  <si>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</si>
  <si>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</si>
  <si>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</si>
  <si>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</si>
  <si>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</si>
  <si>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</si>
  <si>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</si>
  <si>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</si>
  <si>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</si>
  <si>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</si>
  <si>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</si>
  <si>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</si>
  <si>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</si>
  <si>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</si>
  <si>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</si>
  <si>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</si>
  <si>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</si>
  <si>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</si>
  <si>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</si>
  <si>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</si>
  <si>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</si>
  <si>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</si>
  <si>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</si>
  <si>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</si>
  <si>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</si>
  <si>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</si>
  <si>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</si>
  <si>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</si>
  <si>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</si>
  <si>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</si>
  <si>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</si>
  <si>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</si>
  <si>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</si>
  <si>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</si>
  <si>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</si>
  <si>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</si>
  <si>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</si>
  <si>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</si>
  <si>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</si>
  <si>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</si>
  <si>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</si>
  <si>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</si>
  <si>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</si>
  <si>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</si>
  <si>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</si>
  <si>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</si>
  <si>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</si>
  <si>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</si>
  <si>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</si>
  <si>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</si>
  <si>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</si>
  <si>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</si>
  <si>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</si>
  <si>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</si>
  <si>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</si>
  <si>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</si>
  <si>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</si>
  <si>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</si>
  <si>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</si>
  <si>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</si>
  <si>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</si>
  <si>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</si>
  <si>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</si>
  <si>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</si>
  <si>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</si>
  <si>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</si>
  <si>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</si>
  <si>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</si>
  <si>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</si>
  <si>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</si>
  <si>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</si>
  <si>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</si>
  <si>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</si>
  <si>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</si>
  <si>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</si>
  <si>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</si>
  <si>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</si>
  <si>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</si>
  <si>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</si>
  <si>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</si>
  <si>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</si>
  <si>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</si>
  <si>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</si>
  <si>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</si>
  <si>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</si>
  <si>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</si>
  <si>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</si>
  <si>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</si>
  <si>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</si>
  <si>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</si>
  <si>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</si>
  <si>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</si>
  <si>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</si>
  <si>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</si>
  <si>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</si>
  <si>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</si>
  <si>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</si>
  <si>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</si>
  <si>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</si>
  <si>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</si>
  <si>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</si>
  <si>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</si>
  <si>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</si>
  <si>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</si>
  <si>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</si>
  <si>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</si>
  <si>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</si>
  <si>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</si>
  <si>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</si>
  <si>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</si>
  <si>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</si>
  <si>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</si>
  <si>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</si>
  <si>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</si>
  <si>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</si>
  <si>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</si>
  <si>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</si>
  <si>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</si>
  <si>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</si>
  <si>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</si>
  <si>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</si>
  <si>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</si>
  <si>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</si>
  <si>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</si>
  <si>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</si>
  <si>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</si>
  <si>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</si>
  <si>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</si>
  <si>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</si>
  <si>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</si>
  <si>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</si>
  <si>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</si>
  <si>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</si>
  <si>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</si>
  <si>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</si>
  <si>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</si>
  <si>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</si>
  <si>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</si>
  <si>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</si>
  <si>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</si>
  <si>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</si>
  <si>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</si>
  <si>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</si>
  <si>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</si>
  <si>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</si>
  <si>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</si>
  <si>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</si>
  <si>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</si>
  <si>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</si>
  <si>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</si>
  <si>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</si>
  <si>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</si>
  <si>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</si>
  <si>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</si>
  <si>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</si>
  <si>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</si>
  <si>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</si>
  <si>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</si>
  <si>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</si>
  <si>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</si>
  <si>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</si>
  <si>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</si>
  <si>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</si>
  <si>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</si>
  <si>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</si>
  <si>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</si>
  <si>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</si>
  <si>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</si>
  <si>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</si>
  <si>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</si>
  <si>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</si>
  <si>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</si>
  <si>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</si>
  <si>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</si>
  <si>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</si>
  <si>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</si>
  <si>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</si>
  <si>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</si>
  <si>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</si>
  <si>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</si>
  <si>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</si>
  <si>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</si>
  <si>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</si>
  <si>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</si>
  <si>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</si>
  <si>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</si>
  <si>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</si>
  <si>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</si>
  <si>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</si>
  <si>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</si>
  <si>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</si>
  <si>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</si>
  <si>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</si>
  <si>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</si>
  <si>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</si>
  <si>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</si>
  <si>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</si>
  <si>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</si>
  <si>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</si>
  <si>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</si>
  <si>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</si>
  <si>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</si>
  <si>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</si>
  <si>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</si>
  <si>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</si>
  <si>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</si>
  <si>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</si>
  <si>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</si>
  <si>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</si>
  <si>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</si>
  <si>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</si>
  <si>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</si>
  <si>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</si>
  <si>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</si>
  <si>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</si>
  <si>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</si>
  <si>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</si>
  <si>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</si>
  <si>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</si>
  <si>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</si>
  <si>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</si>
  <si>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</si>
  <si>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</si>
  <si>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</si>
  <si>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</si>
  <si>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</si>
  <si>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</si>
  <si>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</si>
  <si>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</si>
  <si>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</si>
  <si>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</si>
  <si>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</si>
  <si>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</si>
  <si>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</si>
  <si>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</si>
  <si>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</si>
  <si>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</si>
  <si>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</si>
  <si>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</si>
  <si>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</si>
  <si>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</si>
  <si>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</si>
  <si>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</si>
  <si>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</si>
  <si>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</si>
  <si>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</si>
  <si>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</si>
  <si>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</si>
  <si>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</si>
  <si>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</si>
  <si>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</si>
  <si>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</si>
  <si>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</si>
  <si>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</si>
  <si>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</si>
  <si>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</si>
  <si>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</si>
  <si>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</si>
  <si>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</si>
  <si>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</si>
  <si>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</si>
  <si>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</si>
  <si>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</si>
  <si>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</si>
  <si>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</si>
  <si>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</si>
  <si>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</si>
  <si>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</si>
  <si>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</si>
  <si>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</si>
  <si>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</si>
  <si>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</si>
  <si>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</si>
  <si>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</si>
  <si>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</si>
  <si>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</si>
  <si>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</si>
  <si>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</si>
  <si>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</si>
  <si>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</si>
  <si>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</si>
  <si>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</si>
  <si>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</si>
  <si>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</si>
  <si>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</si>
  <si>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</si>
  <si>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</si>
  <si>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</si>
  <si>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</si>
  <si>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</si>
  <si>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</si>
  <si>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</si>
  <si>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</si>
  <si>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</si>
  <si>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</si>
  <si>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</si>
  <si>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</si>
  <si>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</si>
  <si>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</si>
  <si>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</si>
  <si>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</si>
  <si>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</si>
  <si>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</si>
  <si>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</si>
  <si>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</si>
  <si>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</si>
  <si>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</si>
  <si>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</si>
  <si>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</si>
  <si>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</si>
  <si>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</si>
  <si>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</si>
  <si>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</si>
  <si>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</si>
  <si>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</si>
  <si>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</si>
  <si>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</si>
  <si>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</si>
  <si>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</si>
  <si>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</si>
  <si>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</si>
  <si>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</si>
  <si>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</si>
  <si>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</si>
  <si>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</si>
  <si>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</si>
  <si>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</si>
  <si>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</si>
  <si>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</si>
  <si>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</si>
  <si>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</si>
  <si>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</si>
  <si>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</si>
  <si>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</si>
  <si>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</si>
  <si>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</si>
  <si>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</si>
  <si>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</si>
  <si>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</si>
  <si>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</si>
  <si>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</si>
  <si>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</si>
  <si>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</si>
  <si>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</si>
  <si>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</si>
  <si>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</si>
  <si>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</si>
  <si>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</si>
  <si>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</si>
  <si>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</si>
  <si>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</si>
  <si>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</si>
  <si>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</si>
  <si>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</si>
  <si>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</si>
  <si>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</si>
  <si>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</si>
  <si>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</si>
  <si>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</si>
  <si>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</si>
  <si>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</si>
  <si>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</si>
  <si>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</si>
  <si>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</si>
  <si>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</si>
  <si>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</si>
  <si>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</si>
  <si>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</si>
  <si>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</si>
  <si>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</si>
  <si>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</si>
  <si>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</si>
  <si>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</si>
  <si>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</si>
  <si>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</si>
  <si>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</si>
  <si>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</si>
  <si>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</si>
  <si>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</si>
  <si>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</si>
  <si>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</si>
  <si>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</si>
  <si>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</si>
  <si>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</si>
  <si>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</si>
  <si>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</si>
  <si>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</si>
  <si>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</si>
  <si>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</si>
  <si>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</si>
  <si>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</si>
  <si>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</si>
  <si>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</si>
  <si>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</si>
  <si>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</si>
  <si>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</si>
  <si>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</si>
  <si>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</si>
  <si>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</si>
  <si>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</si>
  <si>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</si>
  <si>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</si>
  <si>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</si>
  <si>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</si>
  <si>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</si>
  <si>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</si>
  <si>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</si>
  <si>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</si>
  <si>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</si>
  <si>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</si>
  <si>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</si>
  <si>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</si>
  <si>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</si>
  <si>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</si>
  <si>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</si>
  <si>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</si>
  <si>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</si>
  <si>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</si>
  <si>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</si>
  <si>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</si>
  <si>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</si>
  <si>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</si>
  <si>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</si>
  <si>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</si>
  <si>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</si>
  <si>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</si>
  <si>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</si>
  <si>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</si>
  <si>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</si>
  <si>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</si>
  <si>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</si>
  <si>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</si>
  <si>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</si>
  <si>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</si>
  <si>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</si>
  <si>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</si>
  <si>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</si>
  <si>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</si>
  <si>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</si>
  <si>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</si>
  <si>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</si>
  <si>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</si>
  <si>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</si>
  <si>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</si>
  <si>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</si>
  <si>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</si>
  <si>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</si>
  <si>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</si>
  <si>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</si>
  <si>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</si>
  <si>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</si>
  <si>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</si>
  <si>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</si>
  <si>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</si>
  <si>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</si>
  <si>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</si>
  <si>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</si>
  <si>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</si>
  <si>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</si>
  <si>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</si>
  <si>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</si>
  <si>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</si>
  <si>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</si>
  <si>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</si>
  <si>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</si>
  <si>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</si>
  <si>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</si>
  <si>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</si>
  <si>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</si>
  <si>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</si>
  <si>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</si>
  <si>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</si>
  <si>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</si>
  <si>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</si>
  <si>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</si>
  <si>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</si>
  <si>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</si>
  <si>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</si>
  <si>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</si>
  <si>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</si>
  <si>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</si>
  <si>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</si>
  <si>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</si>
  <si>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</si>
  <si>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</si>
  <si>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</si>
  <si>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</si>
  <si>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</si>
  <si>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</si>
  <si>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</si>
  <si>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</si>
  <si>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</si>
  <si>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</si>
  <si>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</si>
  <si>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</si>
  <si>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</si>
  <si>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</si>
  <si>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</si>
  <si>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</si>
  <si>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</si>
  <si>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</si>
  <si>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</si>
  <si>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</si>
  <si>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</si>
  <si>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</si>
  <si>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</si>
  <si>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</si>
  <si>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</si>
  <si>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</si>
  <si>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</si>
  <si>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</si>
  <si>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</si>
  <si>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</si>
  <si>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</si>
  <si>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</si>
  <si>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</si>
  <si>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</si>
  <si>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</si>
  <si>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</si>
  <si>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</si>
  <si>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</si>
  <si>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</si>
  <si>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</si>
  <si>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</si>
  <si>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</si>
  <si>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</si>
  <si>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</si>
  <si>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</si>
  <si>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</si>
  <si>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</si>
  <si>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</si>
  <si>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</si>
  <si>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</si>
  <si>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</si>
  <si>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</si>
  <si>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</si>
  <si>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</si>
  <si>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</si>
  <si>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</si>
  <si>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</si>
  <si>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</si>
  <si>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</si>
  <si>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</si>
  <si>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</si>
  <si>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</si>
  <si>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</si>
  <si>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</si>
  <si>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</si>
  <si>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</si>
  <si>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</si>
  <si>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</si>
  <si>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</si>
  <si>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</si>
  <si>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</si>
  <si>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</si>
  <si>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</si>
  <si>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</si>
  <si>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</si>
  <si>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</si>
  <si>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</si>
  <si>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</si>
  <si>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</si>
  <si>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</si>
  <si>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</si>
  <si>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</si>
  <si>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</si>
  <si>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</si>
  <si>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</si>
  <si>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</si>
  <si>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</si>
  <si>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</si>
  <si>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</si>
  <si>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</si>
  <si>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</si>
  <si>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</si>
  <si>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</si>
  <si>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</si>
  <si>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</si>
  <si>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</si>
  <si>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</si>
  <si>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</si>
  <si>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</si>
  <si>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</si>
  <si>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</si>
  <si>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</si>
  <si>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</si>
  <si>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</si>
  <si>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</si>
  <si>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</si>
  <si>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</si>
  <si>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</si>
  <si>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</si>
  <si>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</si>
  <si>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</si>
  <si>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</si>
  <si>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</si>
  <si>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</si>
  <si>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</si>
  <si>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</si>
  <si>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</si>
  <si>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</si>
  <si>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</si>
  <si>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</si>
  <si>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</si>
  <si>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</si>
  <si>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</si>
  <si>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</si>
  <si>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</si>
  <si>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</si>
  <si>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</si>
  <si>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</si>
  <si>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</si>
  <si>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</si>
  <si>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</si>
  <si>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</si>
  <si>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</si>
  <si>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</si>
  <si>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</si>
  <si>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</si>
  <si>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</si>
  <si>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</si>
  <si>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</si>
  <si>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</si>
  <si>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</si>
  <si>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</si>
  <si>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</si>
  <si>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</si>
  <si>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</si>
  <si>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</si>
  <si>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</si>
  <si>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</si>
  <si>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</si>
  <si>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</si>
  <si>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</si>
  <si>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</si>
  <si>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</si>
  <si>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</si>
  <si>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</si>
  <si>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</si>
  <si>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</si>
  <si>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</si>
  <si>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</si>
  <si>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</si>
  <si>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</si>
  <si>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</si>
  <si>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</si>
  <si>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</si>
  <si>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</si>
  <si>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</si>
  <si>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</si>
  <si>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</si>
  <si>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</si>
  <si>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</si>
  <si>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</si>
  <si>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</si>
  <si>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</si>
  <si>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</si>
  <si>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</si>
  <si>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</si>
  <si>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</si>
  <si>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</si>
  <si>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</si>
  <si>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</si>
  <si>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</si>
  <si>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</si>
  <si>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</si>
  <si>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</si>
  <si>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</si>
  <si>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</si>
  <si>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</si>
  <si>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</si>
  <si>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</si>
  <si>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</si>
  <si>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</si>
  <si>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</si>
  <si>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</si>
  <si>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</si>
  <si>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</si>
  <si>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</si>
  <si>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</si>
  <si>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</si>
  <si>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</si>
  <si>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</si>
  <si>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</si>
  <si>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</si>
  <si>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</si>
  <si>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</si>
  <si>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</si>
  <si>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</si>
  <si>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</si>
  <si>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</si>
  <si>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</si>
  <si>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</si>
  <si>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</si>
  <si>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</si>
  <si>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</si>
  <si>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</si>
  <si>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</si>
  <si>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</si>
  <si>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</si>
  <si>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</si>
  <si>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</si>
  <si>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</si>
  <si>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</si>
  <si>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</si>
  <si>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</si>
  <si>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</si>
  <si>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</si>
  <si>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</si>
  <si>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</si>
  <si>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</si>
  <si>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</si>
  <si>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</si>
  <si>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</si>
  <si>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</si>
  <si>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</si>
  <si>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</si>
  <si>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</si>
  <si>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</si>
  <si>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</si>
  <si>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</si>
  <si>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</si>
  <si>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</si>
  <si>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</si>
  <si>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</si>
  <si>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</si>
  <si>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</si>
  <si>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</si>
  <si>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</si>
  <si>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</si>
  <si>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</si>
  <si>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</si>
  <si>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</si>
  <si>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</si>
  <si>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</si>
  <si>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</si>
  <si>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</si>
  <si>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</si>
  <si>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</si>
  <si>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</si>
  <si>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</si>
  <si>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</si>
  <si>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</si>
  <si>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</si>
  <si>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</si>
  <si>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</si>
  <si>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</si>
  <si>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</si>
  <si>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</si>
  <si>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</si>
  <si>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</si>
  <si>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</si>
  <si>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</si>
  <si>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</si>
  <si>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</si>
  <si>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</si>
  <si>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</si>
  <si>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</si>
  <si>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</si>
  <si>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</si>
  <si>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</si>
  <si>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</si>
  <si>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</si>
  <si>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</si>
  <si>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</si>
  <si>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</si>
  <si>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</si>
  <si>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</si>
  <si>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</si>
  <si>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</si>
  <si>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</si>
  <si>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</si>
  <si>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</si>
  <si>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</si>
  <si>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</si>
  <si>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</si>
  <si>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</si>
  <si>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</si>
  <si>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</si>
  <si>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</si>
  <si>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</si>
  <si>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</si>
  <si>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</si>
  <si>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</si>
  <si>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</si>
  <si>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</si>
  <si>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</si>
  <si>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</si>
  <si>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</si>
  <si>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</si>
  <si>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</si>
  <si>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</si>
  <si>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</si>
  <si>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</si>
  <si>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</si>
  <si>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</si>
  <si>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</si>
  <si>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</si>
  <si>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</si>
  <si>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</si>
  <si>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</si>
  <si>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</si>
  <si>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</si>
  <si>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</si>
  <si>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</si>
  <si>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</si>
  <si>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</si>
  <si>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</si>
  <si>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</si>
  <si>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</si>
  <si>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</si>
  <si>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</si>
  <si>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</si>
  <si>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</si>
  <si>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</si>
  <si>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</si>
  <si>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</si>
  <si>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</si>
  <si>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</si>
  <si>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</si>
  <si>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</si>
  <si>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</si>
  <si>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</si>
  <si>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</si>
  <si>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</si>
  <si>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</si>
  <si>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</si>
  <si>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</si>
  <si>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</si>
  <si>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</si>
  <si>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</si>
  <si>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</si>
  <si>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</si>
  <si>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</si>
  <si>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</si>
  <si>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</si>
  <si>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</si>
  <si>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</si>
  <si>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</si>
  <si>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</si>
  <si>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</si>
  <si>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</si>
  <si>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</si>
  <si>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</si>
  <si>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</si>
  <si>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</si>
  <si>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</si>
  <si>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</si>
  <si>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</si>
  <si>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</si>
  <si>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</si>
  <si>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</si>
  <si>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</si>
  <si>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</si>
  <si>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</si>
  <si>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</si>
  <si>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</si>
  <si>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</si>
  <si>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</si>
  <si>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</si>
  <si>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</si>
  <si>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</si>
  <si>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</si>
  <si>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</si>
  <si>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</si>
  <si>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</si>
  <si>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</si>
  <si>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</si>
  <si>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</si>
  <si>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</si>
  <si>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</si>
  <si>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</si>
  <si>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</si>
  <si>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</si>
  <si>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</si>
  <si>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</si>
  <si>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</si>
  <si>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</si>
  <si>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</si>
  <si>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</si>
  <si>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</si>
  <si>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</si>
  <si>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</si>
  <si>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</si>
  <si>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</si>
  <si>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</si>
  <si>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</si>
  <si>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</si>
  <si>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</si>
  <si>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</si>
  <si>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</si>
  <si>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</si>
  <si>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</si>
  <si>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</si>
  <si>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</si>
  <si>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</si>
  <si>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</si>
  <si>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</si>
  <si>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</si>
  <si>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</si>
  <si>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</si>
  <si>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</si>
  <si>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</si>
  <si>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</si>
  <si>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</si>
  <si>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</si>
  <si>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</si>
  <si>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</si>
  <si>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</si>
  <si>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</si>
  <si>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</si>
  <si>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</si>
  <si>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</si>
  <si>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</si>
  <si>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</si>
  <si>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</si>
  <si>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</si>
  <si>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</si>
  <si>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</si>
  <si>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</si>
  <si>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</si>
  <si>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</si>
  <si>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</si>
  <si>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</si>
  <si>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</si>
  <si>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</si>
  <si>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</si>
  <si>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</si>
  <si>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</si>
  <si>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</si>
  <si>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</si>
  <si>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</si>
  <si>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</si>
  <si>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</si>
  <si>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</si>
  <si>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</si>
  <si>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</si>
  <si>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</si>
  <si>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</si>
  <si>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</si>
  <si>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</si>
  <si>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</si>
  <si>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</si>
  <si>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</si>
  <si>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</si>
  <si>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</si>
  <si>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</si>
  <si>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</si>
  <si>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</si>
  <si>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</si>
  <si>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</si>
  <si>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</si>
  <si>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</si>
  <si>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</si>
  <si>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</si>
  <si>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</si>
  <si>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</si>
  <si>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</si>
  <si>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</si>
  <si>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</si>
  <si>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</si>
  <si>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</si>
  <si>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</si>
  <si>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</si>
  <si>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</si>
  <si>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</si>
  <si>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</si>
  <si>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</si>
  <si>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</si>
  <si>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</si>
  <si>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</si>
  <si>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</si>
  <si>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</si>
  <si>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</si>
  <si>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</si>
  <si>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</si>
  <si>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</si>
  <si>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</si>
  <si>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</si>
  <si>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</si>
  <si>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</si>
  <si>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</si>
  <si>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</si>
  <si>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</si>
  <si>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</si>
  <si>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</si>
  <si>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</si>
  <si>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</si>
  <si>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</si>
  <si>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</si>
  <si>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</si>
  <si>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</si>
  <si>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</si>
  <si>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</si>
  <si>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</si>
  <si>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</si>
  <si>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</si>
  <si>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</si>
  <si>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</si>
  <si>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</si>
  <si>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</si>
  <si>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</si>
  <si>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</si>
  <si>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</si>
  <si>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</si>
  <si>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</si>
  <si>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</si>
  <si>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</si>
  <si>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</si>
  <si>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</si>
  <si>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</si>
  <si>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</si>
  <si>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</si>
  <si>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</si>
  <si>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</si>
  <si>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</si>
  <si>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</si>
  <si>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</si>
  <si>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</si>
  <si>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</si>
  <si>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</si>
  <si>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</si>
  <si>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</si>
  <si>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</si>
  <si>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</si>
  <si>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</si>
  <si>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</si>
  <si>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</si>
  <si>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</si>
  <si>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</si>
  <si>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</si>
  <si>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</si>
  <si>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</si>
  <si>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</si>
  <si>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</si>
  <si>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</si>
  <si>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</si>
  <si>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</si>
  <si>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</si>
  <si>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</si>
  <si>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</si>
  <si>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</si>
  <si>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</si>
  <si>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</si>
  <si>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</si>
  <si>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</si>
  <si>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</si>
  <si>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</si>
  <si>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</si>
  <si>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</si>
  <si>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</si>
  <si>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</si>
  <si>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</si>
  <si>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</si>
  <si>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</si>
  <si>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</si>
  <si>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</si>
  <si>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</si>
  <si>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</si>
  <si>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</si>
  <si>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</si>
  <si>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</si>
  <si>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</si>
  <si>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</si>
  <si>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</si>
  <si>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</si>
  <si>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</si>
  <si>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</si>
  <si>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</si>
  <si>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</si>
  <si>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</si>
  <si>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</si>
  <si>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</si>
  <si>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</si>
  <si>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</si>
  <si>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</si>
  <si>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</si>
  <si>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</si>
  <si>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</si>
  <si>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</si>
  <si>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</si>
  <si>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</si>
  <si>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</si>
  <si>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</si>
  <si>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</si>
  <si>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</si>
  <si>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</si>
  <si>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</si>
  <si>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</si>
  <si>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</si>
  <si>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</si>
  <si>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</si>
  <si>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</si>
  <si>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</si>
  <si>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</si>
  <si>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</si>
  <si>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</si>
  <si>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</si>
  <si>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</si>
  <si>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</si>
  <si>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</si>
  <si>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</si>
  <si>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</si>
  <si>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</si>
  <si>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</si>
  <si>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</si>
  <si>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</si>
  <si>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</si>
  <si>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</si>
  <si>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</si>
  <si>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</si>
  <si>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</si>
  <si>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</si>
  <si>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</si>
  <si>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</si>
  <si>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</si>
  <si>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</si>
  <si>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</si>
  <si>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</si>
  <si>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</si>
  <si>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</si>
  <si>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</si>
  <si>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</si>
  <si>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</si>
  <si>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</si>
  <si>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</si>
  <si>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</si>
  <si>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</si>
  <si>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</si>
  <si>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</si>
  <si>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</si>
  <si>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</si>
  <si>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</si>
  <si>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</si>
  <si>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</si>
  <si>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</si>
  <si>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</si>
  <si>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</si>
  <si>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</si>
  <si>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</si>
  <si>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</si>
  <si>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</si>
  <si>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</si>
  <si>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</si>
  <si>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</si>
  <si>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</si>
  <si>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</si>
  <si>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</si>
  <si>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</si>
  <si>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</si>
  <si>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</si>
  <si>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</si>
  <si>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</si>
  <si>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</si>
  <si>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</si>
  <si>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</si>
  <si>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</si>
  <si>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</si>
  <si>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</si>
  <si>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</si>
  <si>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</si>
  <si>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</si>
  <si>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</si>
  <si>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</si>
  <si>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</si>
  <si>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</si>
  <si>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</si>
  <si>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</si>
  <si>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</si>
  <si>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</si>
  <si>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</si>
  <si>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</si>
  <si>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</si>
  <si>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</si>
  <si>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</si>
  <si>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</si>
  <si>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</si>
  <si>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</si>
  <si>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</si>
  <si>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</si>
  <si>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</si>
  <si>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</si>
  <si>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</si>
  <si>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</si>
  <si>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</si>
  <si>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</si>
  <si>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</si>
  <si>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</si>
  <si>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</si>
  <si>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</si>
  <si>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</si>
  <si>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</si>
  <si>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</si>
  <si>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</si>
  <si>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</si>
  <si>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</si>
  <si>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</si>
  <si>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</si>
  <si>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</si>
  <si>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</si>
  <si>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</si>
  <si>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</si>
  <si>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</si>
  <si>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</si>
  <si>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</si>
  <si>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</si>
  <si>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</si>
  <si>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</si>
  <si>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</si>
  <si>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</si>
  <si>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</si>
  <si>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</si>
  <si>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</si>
  <si>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</si>
  <si>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</si>
  <si>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</si>
  <si>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</si>
  <si>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</si>
  <si>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</si>
  <si>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</si>
  <si>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</si>
  <si>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</si>
  <si>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</si>
  <si>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</si>
  <si>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</si>
  <si>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</si>
  <si>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</si>
  <si>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</si>
  <si>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</si>
  <si>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</si>
  <si>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</si>
  <si>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</si>
  <si>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</si>
  <si>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</si>
  <si>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</si>
  <si>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</si>
  <si>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</si>
  <si>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</si>
  <si>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</si>
  <si>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</si>
  <si>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</si>
  <si>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</si>
  <si>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</si>
  <si>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</si>
  <si>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</si>
  <si>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</si>
  <si>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</si>
  <si>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</si>
  <si>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</si>
  <si>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</si>
  <si>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</si>
  <si>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</si>
  <si>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</si>
  <si>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</si>
  <si>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</si>
  <si>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</si>
  <si>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</si>
  <si>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</si>
  <si>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</si>
  <si>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</si>
  <si>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</si>
  <si>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</si>
  <si>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</si>
  <si>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</si>
  <si>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</si>
  <si>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</si>
  <si>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</si>
  <si>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</si>
  <si>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</si>
  <si>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</si>
  <si>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</si>
  <si>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</si>
  <si>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</si>
  <si>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</si>
  <si>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</si>
  <si>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</si>
  <si>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</si>
  <si>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</si>
  <si>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</si>
  <si>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</si>
  <si>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</si>
  <si>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</si>
  <si>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</si>
  <si>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</si>
  <si>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</si>
  <si>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</si>
  <si>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</si>
  <si>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</si>
  <si>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</si>
  <si>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</si>
  <si>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</si>
  <si>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</si>
  <si>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</si>
  <si>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</si>
  <si>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</si>
  <si>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</si>
  <si>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</si>
  <si>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</si>
  <si>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</si>
  <si>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</si>
  <si>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</si>
  <si>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</si>
  <si>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</si>
  <si>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</si>
  <si>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</si>
  <si>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</si>
  <si>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</si>
  <si>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</si>
  <si>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</si>
  <si>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</si>
  <si>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</si>
  <si>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</si>
  <si>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</si>
  <si>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</si>
  <si>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</si>
  <si>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</si>
  <si>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</si>
  <si>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</si>
  <si>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</si>
  <si>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</si>
  <si>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</si>
  <si>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</si>
  <si>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</si>
  <si>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</si>
  <si>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</si>
  <si>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</si>
  <si>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</si>
  <si>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</si>
  <si>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</si>
  <si>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</si>
  <si>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</si>
  <si>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</si>
  <si>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</si>
  <si>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</si>
  <si>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</si>
  <si>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</si>
  <si>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</si>
  <si>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</si>
  <si>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</si>
  <si>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</si>
  <si>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</si>
  <si>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</si>
  <si>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</si>
  <si>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</si>
  <si>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</si>
  <si>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</si>
  <si>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</si>
  <si>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</si>
  <si>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</si>
  <si>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</si>
  <si>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</si>
  <si>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</si>
  <si>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</si>
  <si>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</si>
  <si>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</si>
  <si>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</si>
  <si>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</si>
  <si>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</si>
  <si>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</si>
  <si>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</si>
  <si>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</si>
  <si>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</si>
  <si>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</si>
  <si>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</si>
  <si>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</si>
  <si>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</si>
  <si>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</si>
  <si>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</si>
  <si>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</si>
  <si>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</si>
  <si>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</si>
  <si>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</si>
  <si>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</si>
  <si>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</si>
  <si>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</si>
  <si>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</si>
  <si>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</si>
  <si>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</si>
  <si>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</si>
  <si>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</si>
  <si>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</si>
  <si>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</si>
  <si>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</si>
  <si>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</si>
  <si>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</si>
  <si>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</si>
  <si>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</si>
  <si>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</si>
  <si>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</si>
  <si>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</si>
  <si>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</si>
  <si>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</si>
  <si>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</si>
  <si>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</si>
  <si>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</si>
  <si>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</si>
  <si>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</si>
  <si>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</si>
  <si>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</si>
  <si>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</si>
  <si>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</si>
  <si>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</si>
  <si>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</si>
  <si>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</si>
  <si>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</si>
  <si>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</si>
  <si>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</si>
  <si>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</si>
  <si>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</si>
  <si>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</si>
  <si>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</si>
  <si>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</si>
  <si>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</si>
  <si>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</si>
  <si>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</si>
  <si>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</si>
  <si>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</si>
  <si>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</si>
  <si>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</si>
  <si>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</si>
  <si>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</si>
  <si>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</si>
  <si>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</si>
  <si>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</si>
  <si>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</si>
  <si>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</si>
  <si>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</si>
  <si>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</si>
  <si>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</si>
  <si>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</si>
  <si>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</si>
  <si>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</si>
  <si>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</si>
  <si>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</si>
  <si>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</si>
  <si>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</si>
  <si>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</si>
  <si>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</si>
  <si>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</si>
  <si>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</si>
  <si>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</si>
  <si>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</si>
  <si>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</si>
  <si>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</si>
  <si>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</si>
  <si>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</si>
  <si>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</si>
  <si>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</si>
  <si>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</si>
  <si>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</si>
  <si>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</si>
  <si>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</si>
  <si>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</si>
  <si>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</si>
  <si>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</si>
  <si>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</si>
  <si>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</si>
  <si>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</si>
  <si>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</si>
  <si>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</si>
  <si>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</si>
  <si>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</si>
  <si>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</si>
  <si>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</si>
  <si>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</si>
  <si>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</si>
  <si>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</si>
  <si>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</si>
  <si>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</si>
  <si>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</si>
  <si>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</si>
  <si>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</si>
  <si>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</si>
  <si>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</si>
  <si>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</si>
  <si>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</si>
  <si>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</si>
  <si>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</si>
  <si>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</si>
  <si>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</si>
  <si>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</si>
  <si>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</si>
  <si>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</si>
  <si>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</si>
  <si>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</si>
  <si>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</si>
  <si>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</si>
  <si>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</si>
  <si>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</si>
  <si>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</si>
  <si>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</si>
  <si>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</si>
  <si>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</si>
  <si>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</si>
  <si>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</si>
  <si>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</si>
  <si>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</si>
  <si>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</si>
  <si>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</si>
  <si>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</si>
  <si>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</si>
  <si>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</si>
  <si>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</si>
  <si>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</si>
  <si>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</si>
  <si>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</si>
  <si>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</si>
  <si>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</si>
  <si>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</si>
  <si>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</si>
  <si>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</si>
  <si>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</si>
  <si>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</si>
  <si>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</si>
  <si>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</si>
  <si>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</si>
  <si>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</si>
  <si>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</si>
  <si>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</si>
  <si>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</si>
  <si>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</si>
  <si>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</si>
  <si>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</si>
  <si>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</si>
  <si>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</si>
  <si>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</si>
  <si>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</si>
  <si>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</si>
  <si>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</si>
  <si>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</si>
  <si>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</si>
  <si>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</si>
  <si>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</si>
  <si>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</si>
  <si>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</si>
  <si>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</si>
  <si>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</si>
  <si>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</si>
  <si>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</si>
  <si>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</si>
  <si>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</si>
  <si>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</si>
  <si>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</si>
  <si>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</si>
  <si>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</si>
  <si>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</si>
  <si>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</si>
  <si>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</si>
  <si>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</si>
  <si>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</si>
  <si>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</si>
  <si>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</si>
  <si>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</si>
  <si>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</si>
  <si>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</si>
  <si>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</si>
  <si>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</si>
  <si>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</si>
  <si>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</si>
  <si>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</si>
  <si>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</si>
  <si>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</si>
  <si>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</si>
  <si>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</si>
  <si>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</si>
  <si>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</si>
  <si>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</si>
  <si>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</si>
  <si>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</si>
  <si>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</si>
  <si>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</si>
  <si>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</si>
  <si>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</si>
  <si>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</si>
  <si>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</si>
  <si>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</si>
  <si>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</si>
  <si>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</si>
  <si>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</si>
  <si>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</si>
  <si>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</si>
  <si>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</si>
  <si>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</si>
  <si>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</si>
  <si>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</si>
  <si>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</si>
  <si>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</si>
  <si>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</si>
  <si>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</si>
  <si>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</si>
  <si>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</si>
  <si>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</si>
  <si>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</si>
  <si>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</si>
  <si>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</si>
  <si>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</si>
  <si>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</si>
  <si>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</si>
  <si>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</si>
  <si>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</si>
  <si>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</si>
  <si>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</si>
  <si>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</si>
  <si>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</si>
  <si>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</si>
  <si>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</si>
  <si>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</si>
  <si>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</si>
  <si>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</si>
  <si>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</si>
  <si>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</si>
  <si>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</si>
  <si>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</si>
  <si>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</si>
  <si>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</si>
  <si>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</si>
  <si>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</si>
  <si>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</si>
  <si>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</si>
  <si>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</si>
  <si>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</si>
  <si>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</si>
  <si>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</si>
  <si>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</si>
  <si>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</si>
  <si>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</si>
  <si>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</si>
  <si>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</si>
  <si>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</si>
  <si>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</si>
  <si>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</si>
  <si>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</si>
  <si>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</si>
  <si>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</si>
  <si>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</si>
  <si>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</si>
  <si>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</si>
  <si>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</si>
  <si>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</si>
  <si>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</si>
  <si>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</si>
  <si>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</si>
  <si>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</si>
  <si>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</si>
  <si>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</si>
  <si>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</si>
  <si>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</si>
  <si>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</si>
  <si>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</si>
  <si>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</si>
  <si>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</si>
  <si>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</si>
  <si>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</si>
  <si>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</si>
  <si>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</si>
  <si>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</si>
  <si>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</si>
  <si>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</si>
  <si>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</si>
  <si>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</si>
  <si>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</si>
  <si>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</si>
  <si>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</si>
  <si>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</si>
  <si>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</si>
  <si>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</si>
  <si>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</si>
  <si>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</si>
  <si>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</si>
  <si>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</si>
  <si>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</si>
  <si>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</si>
  <si>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</si>
  <si>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</si>
  <si>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</si>
  <si>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</si>
  <si>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</si>
  <si>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</si>
  <si>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</si>
  <si>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</si>
  <si>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</si>
  <si>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</si>
  <si>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</si>
  <si>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</si>
  <si>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</si>
  <si>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</si>
  <si>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</si>
  <si>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</si>
  <si>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</si>
  <si>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</si>
  <si>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</si>
  <si>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</si>
  <si>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</si>
  <si>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</si>
  <si>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</si>
  <si>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</si>
  <si>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</si>
  <si>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</si>
  <si>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</si>
  <si>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</si>
  <si>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</si>
  <si>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</si>
  <si>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</si>
  <si>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</si>
  <si>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</si>
  <si>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</si>
  <si>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</si>
  <si>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</si>
  <si>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</si>
  <si>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</si>
  <si>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</si>
  <si>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</si>
  <si>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</si>
  <si>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</si>
  <si>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</si>
  <si>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</si>
  <si>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</si>
  <si>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</si>
  <si>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</si>
  <si>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</si>
  <si>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</si>
  <si>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</si>
  <si>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</si>
  <si>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</si>
  <si>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</si>
  <si>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</si>
  <si>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</si>
  <si>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</si>
  <si>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</si>
  <si>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</si>
  <si>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</si>
  <si>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</si>
  <si>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</si>
  <si>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</si>
  <si>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</si>
  <si>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</si>
  <si>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</si>
  <si>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</si>
  <si>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</si>
  <si>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</si>
  <si>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</si>
  <si>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</si>
  <si>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</si>
  <si>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</si>
  <si>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</si>
  <si>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</si>
  <si>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</si>
  <si>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</si>
  <si>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</si>
  <si>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</si>
  <si>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</si>
  <si>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</si>
  <si>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</si>
  <si>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</si>
  <si>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</si>
  <si>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</si>
  <si>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</si>
  <si>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</si>
  <si>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</si>
  <si>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</si>
  <si>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</si>
  <si>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</si>
  <si>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</si>
  <si>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</si>
  <si>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</si>
  <si>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</si>
  <si>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</si>
  <si>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</si>
  <si>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</si>
  <si>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</si>
  <si>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</si>
  <si>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</si>
  <si>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</si>
  <si>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</si>
  <si>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</si>
  <si>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</si>
  <si>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</si>
  <si>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</si>
  <si>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</si>
  <si>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</si>
  <si>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</si>
  <si>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</si>
  <si>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</si>
  <si>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</si>
  <si>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</si>
  <si>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</si>
  <si>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</si>
  <si>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</si>
  <si>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</si>
  <si>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</si>
  <si>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</si>
  <si>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</si>
  <si>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</si>
  <si>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</si>
  <si>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</si>
  <si>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</si>
  <si>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</si>
  <si>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</si>
  <si>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</si>
  <si>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</si>
  <si>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</si>
  <si>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</si>
  <si>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</si>
  <si>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</si>
  <si>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</si>
  <si>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</si>
  <si>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</si>
  <si>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</si>
  <si>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</si>
  <si>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</si>
  <si>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</si>
  <si>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</si>
  <si>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</si>
  <si>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</si>
  <si>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</si>
  <si>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</si>
  <si>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</si>
  <si>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</si>
  <si>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</si>
  <si>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</si>
  <si>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</si>
  <si>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</si>
  <si>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</si>
  <si>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</si>
  <si>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</si>
  <si>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</si>
  <si>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</si>
  <si>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</si>
  <si>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</si>
  <si>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</si>
  <si>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</si>
  <si>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</si>
  <si>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</si>
  <si>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</si>
  <si>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</si>
  <si>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</si>
  <si>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</si>
  <si>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</si>
  <si>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</si>
  <si>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</si>
  <si>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</si>
  <si>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</si>
  <si>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</si>
  <si>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</si>
  <si>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</si>
  <si>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</si>
  <si>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</si>
  <si>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</si>
  <si>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</si>
  <si>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</si>
  <si>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</si>
  <si>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</si>
  <si>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</si>
  <si>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</si>
  <si>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</si>
  <si>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</si>
  <si>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</si>
  <si>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</si>
  <si>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</si>
  <si>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</si>
  <si>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</si>
  <si>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</si>
  <si>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</si>
  <si>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</si>
  <si>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</si>
  <si>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</si>
  <si>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</si>
  <si>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</si>
  <si>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</si>
  <si>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</si>
  <si>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</si>
  <si>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</si>
  <si>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</si>
  <si>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</si>
  <si>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</si>
  <si>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</si>
  <si>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</si>
  <si>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</si>
  <si>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</si>
  <si>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</si>
  <si>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</si>
  <si>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</si>
  <si>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</si>
  <si>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</si>
  <si>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</si>
  <si>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</si>
  <si>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</si>
  <si>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</si>
  <si>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</si>
  <si>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</si>
  <si>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</si>
  <si>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</si>
  <si>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</si>
  <si>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</si>
  <si>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</si>
  <si>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</si>
  <si>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</si>
  <si>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</si>
  <si>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</si>
  <si>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</si>
  <si>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</si>
  <si>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</si>
  <si>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</si>
  <si>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</si>
  <si>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</si>
  <si>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</si>
  <si>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</si>
  <si>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</si>
  <si>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</si>
  <si>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</si>
  <si>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</si>
  <si>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</si>
  <si>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</si>
  <si>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</si>
  <si>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</si>
  <si>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</si>
  <si>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</si>
  <si>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</si>
  <si>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</si>
  <si>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</si>
  <si>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</si>
  <si>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</si>
  <si>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</si>
  <si>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</si>
  <si>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</si>
  <si>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</si>
  <si>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</si>
  <si>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</si>
  <si>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</si>
  <si>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</si>
  <si>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</si>
  <si>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</si>
  <si>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</si>
  <si>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</si>
  <si>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</si>
  <si>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</si>
  <si>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</si>
  <si>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</si>
  <si>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</si>
  <si>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</si>
  <si>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</si>
  <si>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</si>
  <si>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</si>
  <si>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</si>
  <si>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</si>
  <si>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</si>
  <si>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</si>
  <si>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</si>
  <si>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</si>
  <si>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</si>
  <si>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</si>
  <si>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</si>
  <si>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</si>
  <si>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</si>
  <si>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</si>
  <si>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</si>
  <si>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</si>
  <si>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</si>
  <si>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</si>
  <si>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</si>
  <si>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</si>
  <si>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</si>
  <si>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</si>
  <si>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</si>
  <si>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</si>
  <si>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</si>
  <si>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</si>
  <si>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</si>
  <si>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</si>
  <si>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</si>
  <si>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</si>
  <si>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</si>
  <si>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</si>
  <si>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</si>
  <si>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</si>
  <si>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</si>
  <si>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</si>
  <si>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</si>
  <si>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</si>
  <si>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</si>
  <si>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</si>
  <si>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</si>
  <si>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</si>
  <si>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</si>
  <si>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</si>
  <si>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</si>
  <si>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</si>
  <si>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</si>
  <si>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</si>
  <si>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</si>
  <si>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</si>
  <si>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</si>
  <si>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</si>
  <si>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</si>
  <si>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</si>
  <si>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</si>
  <si>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</si>
  <si>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</si>
  <si>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</si>
  <si>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</si>
  <si>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</si>
  <si>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</si>
  <si>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</si>
  <si>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</si>
  <si>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</si>
  <si>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</si>
  <si>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</si>
  <si>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</si>
  <si>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</si>
  <si>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</si>
  <si>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</si>
  <si>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</si>
  <si>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</si>
  <si>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</si>
  <si>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</si>
  <si>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</si>
  <si>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</si>
  <si>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</si>
  <si>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</si>
  <si>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</si>
  <si>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</si>
  <si>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</si>
  <si>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</si>
  <si>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</si>
  <si>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</si>
  <si>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</si>
  <si>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</si>
  <si>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</si>
  <si>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</si>
  <si>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</si>
  <si>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</si>
  <si>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</si>
  <si>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</si>
  <si>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</si>
  <si>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</si>
  <si>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</si>
  <si>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</si>
  <si>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</si>
  <si>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</si>
  <si>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</si>
  <si>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</si>
  <si>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</si>
  <si>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</si>
  <si>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</si>
  <si>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</si>
  <si>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</si>
  <si>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</si>
  <si>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</si>
  <si>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</si>
  <si>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</si>
  <si>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</si>
  <si>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</si>
  <si>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</si>
  <si>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</si>
  <si>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</si>
  <si>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</si>
  <si>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</si>
  <si>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</si>
  <si>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</si>
  <si>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</si>
  <si>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</si>
  <si>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</si>
  <si>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</si>
  <si>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</si>
  <si>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</si>
  <si>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</si>
  <si>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</si>
  <si>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</si>
  <si>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</si>
  <si>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</si>
  <si>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</si>
  <si>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</si>
  <si>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</si>
  <si>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</si>
  <si>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</si>
  <si>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</si>
  <si>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</si>
  <si>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</si>
  <si>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</si>
  <si>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</si>
  <si>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</si>
  <si>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</si>
  <si>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</si>
  <si>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</si>
  <si>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</si>
  <si>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</si>
  <si>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</si>
  <si>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</si>
  <si>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</si>
  <si>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</si>
  <si>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</si>
  <si>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</si>
  <si>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</si>
  <si>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</si>
  <si>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</si>
  <si>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</si>
  <si>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</si>
  <si>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</si>
  <si>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</si>
  <si>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</si>
  <si>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</si>
  <si>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</si>
  <si>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</si>
  <si>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</si>
  <si>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</si>
  <si>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</si>
  <si>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</si>
  <si>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</si>
  <si>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</si>
  <si>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</si>
  <si>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</si>
  <si>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</si>
  <si>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</si>
  <si>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</si>
  <si>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</si>
  <si>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</si>
  <si>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</si>
  <si>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</si>
  <si>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</si>
  <si>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</si>
  <si>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</si>
  <si>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</si>
  <si>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</si>
  <si>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</si>
  <si>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</si>
  <si>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</si>
  <si>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</si>
  <si>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</si>
  <si>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</si>
  <si>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</si>
  <si>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</si>
  <si>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</si>
  <si>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</si>
  <si>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</si>
  <si>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</si>
  <si>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</si>
  <si>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</si>
  <si>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</si>
  <si>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</si>
  <si>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</si>
  <si>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</si>
  <si>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</si>
  <si>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</si>
  <si>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</si>
  <si>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</si>
  <si>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</si>
  <si>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</si>
  <si>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</si>
  <si>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</si>
  <si>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</si>
  <si>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</si>
  <si>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</si>
  <si>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</si>
  <si>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</si>
  <si>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</si>
  <si>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</si>
  <si>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</si>
  <si>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</si>
  <si>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</si>
  <si>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</si>
  <si>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</si>
  <si>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</si>
  <si>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</si>
  <si>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</si>
  <si>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</si>
  <si>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</si>
  <si>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</si>
  <si>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</si>
  <si>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</si>
  <si>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</si>
  <si>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</si>
  <si>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</si>
  <si>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</si>
  <si>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</si>
  <si>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</si>
  <si>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</si>
  <si>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</si>
  <si>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</si>
  <si>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</si>
  <si>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</si>
  <si>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</si>
  <si>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</si>
  <si>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</si>
  <si>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</si>
  <si>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</si>
  <si>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</si>
  <si>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</si>
  <si>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</si>
  <si>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</si>
  <si>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</si>
  <si>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</si>
  <si>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</si>
  <si>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</si>
  <si>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</si>
  <si>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</si>
  <si>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</si>
  <si>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</si>
  <si>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</si>
  <si>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</si>
  <si>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</si>
  <si>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</si>
  <si>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</si>
  <si>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</si>
  <si>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</si>
  <si>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</si>
  <si>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</si>
  <si>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</si>
  <si>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</si>
  <si>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</si>
  <si>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</si>
  <si>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</si>
  <si>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</si>
  <si>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</si>
  <si>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</si>
  <si>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</si>
  <si>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</si>
  <si>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</si>
  <si>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</si>
  <si>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</si>
  <si>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</si>
  <si>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</si>
  <si>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</si>
  <si>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</si>
  <si>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</si>
  <si>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</si>
  <si>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</si>
  <si>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</si>
  <si>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</si>
  <si>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</si>
  <si>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</si>
  <si>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</si>
  <si>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</si>
  <si>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</si>
  <si>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</si>
  <si>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</si>
  <si>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</si>
  <si>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</si>
  <si>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</si>
  <si>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</si>
  <si>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</si>
  <si>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</si>
  <si>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</si>
  <si>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</si>
  <si>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</si>
  <si>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</si>
  <si>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</si>
  <si>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</si>
  <si>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</si>
  <si>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</si>
  <si>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</si>
  <si>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</si>
  <si>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</si>
  <si>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</si>
  <si>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</si>
  <si>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</si>
  <si>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</si>
  <si>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</si>
  <si>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</si>
  <si>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</si>
  <si>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</si>
  <si>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</si>
  <si>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</si>
  <si>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</si>
  <si>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</si>
  <si>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</si>
  <si>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</si>
  <si>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</si>
  <si>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</si>
  <si>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</si>
  <si>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</si>
  <si>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</si>
  <si>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</si>
  <si>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</si>
  <si>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</si>
  <si>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</si>
  <si>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</si>
  <si>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</si>
  <si>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</si>
  <si>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</si>
  <si>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</si>
  <si>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</si>
  <si>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</si>
  <si>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</si>
  <si>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</si>
  <si>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</si>
  <si>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</si>
  <si>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</si>
  <si>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</si>
  <si>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</si>
  <si>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</si>
  <si>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</si>
  <si>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</si>
  <si>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</si>
  <si>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</si>
  <si>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</si>
  <si>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</si>
  <si>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</si>
  <si>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</si>
  <si>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</si>
  <si>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</si>
  <si>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</si>
  <si>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</si>
  <si>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</si>
  <si>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</si>
  <si>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</si>
  <si>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</si>
  <si>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</si>
  <si>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</si>
  <si>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</si>
  <si>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</si>
  <si>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</si>
  <si>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</si>
  <si>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</si>
  <si>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</si>
  <si>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</si>
  <si>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</si>
  <si>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</si>
  <si>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</si>
  <si>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</si>
  <si>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</si>
  <si>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</si>
  <si>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</si>
  <si>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</si>
  <si>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</si>
  <si>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</si>
  <si>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</si>
  <si>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</si>
  <si>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</si>
  <si>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</si>
  <si>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</si>
  <si>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</si>
  <si>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</si>
  <si>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</si>
  <si>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</si>
  <si>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</si>
  <si>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</si>
  <si>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</si>
  <si>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</si>
  <si>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</si>
  <si>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</si>
  <si>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</si>
  <si>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</si>
  <si>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</si>
  <si>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</si>
  <si>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</si>
  <si>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</si>
  <si>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</si>
  <si>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</si>
  <si>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</si>
  <si>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</si>
  <si>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</si>
  <si>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</si>
  <si>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</si>
  <si>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</si>
  <si>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</si>
  <si>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</si>
  <si>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</si>
  <si>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</si>
  <si>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</si>
  <si>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</si>
  <si>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</si>
  <si>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</si>
  <si>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</si>
  <si>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</si>
  <si>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</si>
  <si>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</si>
  <si>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</si>
  <si>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</si>
  <si>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</si>
  <si>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</si>
  <si>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</si>
  <si>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</si>
  <si>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</si>
  <si>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</si>
  <si>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</si>
  <si>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</si>
  <si>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</si>
  <si>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</si>
  <si>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</si>
  <si>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</si>
  <si>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</si>
  <si>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</si>
  <si>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</si>
  <si>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</si>
  <si>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</si>
  <si>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</si>
  <si>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</si>
  <si>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</si>
  <si>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</si>
  <si>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</si>
  <si>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</si>
  <si>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</si>
  <si>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</si>
  <si>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</si>
  <si>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</si>
  <si>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</si>
  <si>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</si>
  <si>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</si>
  <si>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</si>
  <si>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</si>
  <si>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</si>
  <si>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</si>
  <si>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</si>
  <si>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</si>
  <si>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</si>
  <si>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</si>
  <si>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</si>
  <si>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</si>
  <si>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</si>
  <si>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</si>
  <si>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</si>
  <si>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</si>
  <si>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</si>
  <si>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</si>
  <si>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</si>
  <si>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</si>
  <si>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</si>
  <si>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</si>
  <si>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</si>
  <si>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</si>
  <si>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</si>
  <si>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</si>
  <si>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</si>
  <si>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</si>
  <si>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</si>
  <si>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</si>
  <si>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</si>
  <si>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</si>
  <si>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</si>
  <si>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</si>
  <si>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</si>
  <si>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</si>
  <si>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</si>
  <si>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</si>
  <si>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</si>
  <si>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</si>
  <si>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</si>
  <si>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</si>
  <si>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</si>
  <si>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</si>
  <si>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</si>
  <si>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</si>
  <si>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</si>
  <si>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</si>
  <si>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</si>
  <si>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</si>
  <si>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</si>
  <si>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</si>
  <si>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</si>
  <si>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</si>
  <si>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</si>
  <si>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</si>
  <si>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</si>
  <si>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</si>
  <si>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</si>
  <si>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</si>
  <si>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</si>
  <si>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</si>
  <si>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</si>
  <si>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</si>
  <si>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</si>
  <si>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</si>
  <si>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</si>
  <si>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</si>
  <si>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</si>
  <si>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</si>
  <si>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</si>
  <si>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</si>
  <si>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</si>
  <si>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</si>
  <si>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</si>
  <si>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</si>
  <si>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</si>
  <si>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</si>
  <si>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</si>
  <si>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</si>
  <si>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</si>
  <si>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</si>
  <si>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</si>
  <si>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</si>
  <si>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</si>
  <si>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</si>
  <si>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</si>
  <si>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</si>
  <si>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</si>
  <si>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</si>
  <si>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</si>
  <si>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</si>
  <si>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</si>
  <si>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</si>
  <si>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</si>
  <si>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</si>
  <si>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</si>
  <si>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</si>
  <si>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</si>
  <si>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</si>
  <si>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</si>
  <si>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</si>
  <si>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</si>
  <si>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</si>
  <si>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</si>
  <si>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</si>
  <si>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</si>
  <si>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</si>
  <si>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</si>
  <si>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</si>
  <si>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</si>
  <si>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</si>
  <si>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</si>
  <si>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</si>
  <si>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</si>
  <si>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</si>
  <si>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</si>
  <si>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</si>
  <si>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</si>
  <si>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</si>
  <si>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</si>
  <si>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</si>
  <si>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</si>
  <si>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</si>
  <si>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</si>
  <si>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</si>
  <si>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</si>
  <si>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</si>
  <si>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</si>
  <si>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</si>
  <si>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</si>
  <si>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</si>
  <si>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</si>
  <si>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</si>
  <si>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</si>
  <si>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</si>
  <si>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</si>
  <si>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</si>
  <si>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</si>
  <si>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</si>
  <si>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</si>
  <si>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</si>
  <si>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</si>
  <si>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</si>
  <si>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</si>
  <si>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</si>
  <si>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</si>
  <si>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</si>
  <si>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</si>
  <si>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</si>
  <si>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</si>
  <si>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</si>
  <si>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</si>
  <si>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</si>
  <si>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</si>
  <si>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</si>
  <si>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</si>
  <si>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</si>
  <si>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</si>
  <si>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</si>
  <si>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</si>
  <si>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</si>
  <si>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</si>
  <si>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</si>
  <si>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</si>
  <si>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</si>
  <si>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</si>
  <si>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</si>
  <si>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</si>
  <si>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</si>
  <si>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</si>
  <si>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</si>
  <si>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</si>
  <si>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</si>
  <si>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</si>
  <si>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</si>
  <si>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</si>
  <si>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</si>
  <si>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</si>
  <si>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</si>
  <si>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</si>
  <si>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</si>
  <si>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</si>
  <si>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</si>
  <si>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</si>
  <si>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</si>
  <si>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</si>
  <si>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</si>
  <si>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</si>
  <si>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</si>
  <si>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</si>
  <si>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</si>
  <si>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</si>
  <si>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</si>
  <si>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</si>
  <si>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</si>
  <si>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</si>
  <si>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</si>
  <si>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</si>
  <si>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</si>
  <si>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</si>
  <si>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</si>
  <si>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</si>
  <si>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</si>
  <si>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</si>
  <si>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</si>
  <si>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</si>
  <si>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</si>
  <si>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</si>
  <si>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</si>
  <si>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</si>
  <si>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</si>
  <si>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</si>
  <si>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</si>
  <si>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</si>
  <si>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</si>
  <si>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</si>
  <si>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</si>
  <si>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</si>
  <si>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</si>
  <si>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</si>
  <si>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</si>
  <si>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</si>
  <si>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</si>
  <si>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</si>
  <si>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</si>
  <si>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</si>
  <si>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</si>
  <si>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</si>
  <si>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</si>
  <si>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</si>
  <si>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</si>
  <si>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</si>
  <si>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</si>
  <si>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</si>
  <si>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</si>
  <si>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</si>
  <si>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</si>
  <si>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</si>
  <si>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</si>
  <si>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</si>
  <si>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</si>
  <si>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</si>
  <si>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</si>
  <si>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</si>
  <si>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</si>
  <si>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</si>
  <si>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</si>
  <si>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</si>
  <si>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</si>
  <si>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</si>
  <si>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</si>
  <si>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</si>
  <si>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</si>
  <si>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</si>
  <si>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</si>
  <si>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</si>
  <si>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</si>
  <si>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</si>
  <si>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</si>
  <si>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</si>
  <si>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</si>
  <si>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</si>
  <si>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</si>
  <si>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</si>
  <si>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</si>
  <si>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</si>
  <si>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</si>
  <si>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</si>
  <si>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</si>
  <si>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</si>
  <si>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</si>
  <si>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</si>
  <si>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</si>
  <si>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</si>
  <si>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</si>
  <si>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</si>
  <si>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</si>
  <si>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</si>
  <si>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</si>
  <si>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</si>
  <si>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</si>
  <si>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</si>
  <si>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</si>
  <si>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</si>
  <si>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</si>
  <si>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</si>
  <si>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</si>
  <si>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</si>
  <si>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</si>
  <si>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</si>
  <si>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</si>
  <si>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</si>
  <si>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</si>
  <si>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</si>
  <si>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</si>
  <si>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</si>
  <si>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</si>
  <si>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</si>
  <si>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</si>
  <si>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</si>
  <si>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</si>
  <si>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</si>
  <si>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</si>
  <si>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</si>
  <si>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</si>
  <si>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</si>
  <si>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</si>
  <si>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</si>
  <si>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</si>
  <si>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</si>
  <si>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</si>
  <si>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</si>
  <si>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</si>
  <si>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</si>
  <si>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</si>
  <si>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</si>
  <si>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</si>
  <si>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</si>
  <si>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</si>
  <si>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</si>
  <si>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</si>
  <si>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</si>
  <si>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</si>
  <si>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</si>
  <si>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</si>
  <si>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</si>
  <si>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</si>
  <si>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</si>
  <si>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</si>
  <si>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</si>
  <si>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</si>
  <si>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</si>
  <si>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</si>
  <si>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</si>
  <si>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</si>
  <si>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</si>
  <si>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</si>
  <si>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</si>
  <si>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</si>
  <si>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</si>
  <si>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</si>
  <si>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</si>
  <si>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</si>
  <si>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</si>
  <si>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</si>
  <si>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</si>
  <si>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</si>
  <si>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</si>
  <si>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</si>
  <si>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</si>
  <si>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</si>
  <si>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</si>
  <si>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</si>
  <si>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</si>
  <si>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</si>
  <si>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</si>
  <si>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</si>
  <si>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</si>
  <si>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</si>
  <si>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</si>
  <si>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</si>
  <si>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</si>
  <si>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</si>
  <si>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</si>
  <si>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</si>
  <si>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</si>
  <si>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</si>
  <si>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</si>
  <si>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</si>
  <si>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</si>
  <si>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</si>
  <si>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</si>
  <si>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</si>
  <si>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</si>
  <si>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</si>
  <si>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</si>
  <si>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</si>
  <si>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</si>
  <si>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</si>
  <si>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</si>
  <si>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</si>
  <si>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</si>
  <si>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</si>
  <si>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</si>
  <si>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</si>
  <si>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</si>
  <si>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</si>
  <si>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</si>
  <si>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</si>
  <si>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</si>
  <si>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</si>
  <si>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</si>
  <si>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</si>
  <si>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</si>
  <si>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</si>
  <si>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</si>
  <si>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</si>
  <si>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</si>
  <si>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</si>
  <si>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</si>
  <si>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</si>
  <si>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</si>
  <si>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</si>
  <si>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</si>
  <si>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</si>
  <si>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</si>
  <si>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</si>
  <si>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</si>
  <si>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</si>
  <si>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</si>
  <si>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</si>
  <si>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</si>
  <si>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</si>
  <si>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</si>
  <si>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</si>
  <si>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</si>
  <si>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</si>
  <si>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</si>
  <si>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</si>
  <si>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</si>
  <si>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</si>
  <si>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</si>
  <si>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</si>
  <si>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</si>
  <si>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</si>
  <si>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</si>
  <si>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</si>
  <si>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</si>
  <si>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</si>
  <si>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</si>
  <si>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</si>
  <si>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</si>
  <si>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</si>
  <si>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</si>
  <si>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</si>
  <si>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</si>
  <si>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</si>
  <si>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</si>
  <si>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</si>
  <si>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</si>
  <si>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</si>
  <si>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</si>
  <si>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</si>
  <si>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</si>
  <si>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</si>
  <si>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</si>
  <si>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</si>
  <si>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</si>
  <si>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</si>
  <si>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</si>
  <si>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</si>
  <si>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</si>
  <si>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</si>
  <si>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</si>
  <si>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</si>
  <si>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</si>
  <si>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</si>
  <si>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</si>
  <si>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</si>
  <si>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</si>
  <si>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</si>
  <si>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</si>
  <si>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</si>
  <si>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</si>
  <si>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</si>
  <si>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</si>
  <si>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</si>
  <si>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</si>
  <si>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</si>
  <si>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</si>
  <si>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</si>
  <si>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</si>
  <si>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</si>
  <si>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</si>
  <si>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</si>
  <si>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</si>
  <si>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</si>
  <si>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</si>
  <si>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</si>
  <si>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</si>
  <si>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</si>
  <si>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</si>
  <si>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</si>
  <si>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</si>
  <si>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</si>
  <si>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</si>
  <si>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</si>
  <si>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</si>
  <si>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</si>
  <si>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</si>
  <si>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</si>
  <si>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</si>
  <si>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</si>
  <si>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</si>
  <si>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</si>
  <si>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</si>
  <si>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</si>
  <si>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</si>
  <si>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</si>
  <si>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</si>
  <si>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</si>
  <si>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</si>
  <si>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</si>
  <si>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</si>
  <si>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</si>
  <si>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</si>
  <si>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</si>
  <si>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</si>
  <si>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</si>
  <si>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</si>
  <si>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</si>
  <si>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</si>
  <si>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</si>
  <si>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</si>
  <si>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</si>
  <si>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</si>
  <si>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</si>
  <si>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</si>
  <si>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</si>
  <si>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</si>
  <si>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</si>
  <si>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</si>
  <si>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</si>
  <si>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</si>
  <si>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</si>
  <si>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</si>
  <si>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</si>
  <si>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</si>
  <si>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</si>
  <si>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</si>
  <si>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</si>
  <si>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</si>
  <si>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</si>
  <si>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</si>
  <si>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</si>
  <si>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</si>
  <si>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</si>
  <si>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</si>
  <si>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</si>
  <si>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</si>
  <si>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</si>
  <si>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</si>
  <si>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</si>
  <si>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</si>
  <si>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</si>
  <si>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</si>
  <si>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</si>
  <si>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</si>
  <si>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</si>
  <si>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</si>
  <si>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</si>
  <si>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</si>
  <si>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</si>
  <si>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</si>
  <si>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</si>
  <si>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</si>
  <si>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</si>
  <si>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</si>
  <si>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</si>
  <si>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</si>
  <si>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</si>
  <si>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</si>
  <si>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</si>
  <si>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</si>
  <si>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</si>
  <si>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</si>
  <si>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</si>
  <si>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</si>
  <si>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</si>
  <si>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</si>
  <si>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</si>
  <si>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</si>
  <si>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</si>
  <si>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</si>
  <si>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</si>
  <si>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</si>
  <si>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</si>
  <si>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</si>
  <si>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</si>
  <si>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</si>
  <si>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</si>
  <si>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</si>
  <si>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</si>
  <si>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</si>
  <si>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</si>
  <si>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</si>
  <si>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</si>
  <si>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</si>
  <si>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</si>
  <si>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</si>
  <si>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</si>
  <si>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</si>
  <si>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</si>
  <si>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</si>
  <si>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</si>
  <si>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</si>
  <si>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</si>
  <si>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</si>
  <si>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</si>
  <si>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</si>
  <si>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</si>
  <si>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</si>
  <si>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</si>
  <si>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</si>
  <si>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</si>
  <si>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</si>
  <si>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</si>
  <si>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</si>
  <si>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</si>
  <si>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</si>
  <si>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</si>
  <si>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</si>
  <si>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</si>
  <si>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</si>
  <si>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</si>
  <si>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</si>
  <si>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</si>
  <si>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</si>
  <si>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</si>
  <si>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</si>
  <si>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</si>
  <si>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</si>
  <si>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</si>
  <si>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</si>
  <si>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</si>
  <si>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</si>
  <si>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</si>
  <si>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</si>
  <si>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</si>
  <si>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</si>
  <si>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</si>
  <si>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</si>
  <si>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</si>
  <si>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</si>
  <si>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</si>
  <si>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</si>
  <si>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</si>
  <si>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</si>
  <si>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</si>
  <si>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</si>
  <si>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</si>
  <si>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</si>
  <si>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</si>
  <si>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</si>
  <si>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</si>
  <si>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</si>
  <si>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</si>
  <si>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</si>
  <si>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</si>
  <si>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</si>
  <si>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</si>
  <si>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</si>
  <si>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</si>
  <si>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</si>
  <si>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</si>
  <si>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</si>
  <si>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</si>
  <si>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</si>
  <si>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</si>
  <si>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</si>
  <si>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</si>
  <si>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</si>
  <si>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</si>
  <si>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</si>
  <si>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</si>
  <si>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</si>
  <si>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</si>
  <si>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</si>
  <si>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</si>
  <si>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</si>
  <si>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</si>
  <si>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</si>
  <si>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</si>
  <si>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</si>
  <si>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</si>
  <si>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</si>
  <si>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</si>
  <si>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</si>
  <si>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</si>
  <si>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</si>
  <si>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</si>
  <si>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</si>
  <si>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</si>
  <si>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</si>
  <si>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</si>
  <si>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</si>
  <si>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</si>
  <si>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</si>
  <si>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</si>
  <si>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</si>
  <si>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</si>
  <si>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</si>
  <si>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</si>
  <si>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</si>
  <si>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</si>
  <si>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</si>
  <si>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</si>
  <si>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</si>
  <si>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</si>
  <si>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</si>
  <si>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</si>
  <si>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</si>
  <si>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</si>
  <si>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</si>
  <si>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</si>
  <si>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</si>
  <si>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</si>
  <si>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</si>
  <si>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</si>
  <si>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</si>
  <si>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</si>
  <si>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</si>
  <si>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</si>
  <si>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</si>
  <si>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</si>
  <si>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</si>
  <si>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</si>
  <si>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</si>
  <si>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</si>
  <si>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</si>
  <si>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</si>
  <si>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</si>
  <si>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</si>
  <si>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</si>
  <si>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</si>
  <si>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</si>
  <si>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</si>
  <si>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</si>
  <si>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</si>
  <si>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</si>
  <si>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</si>
  <si>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</si>
  <si>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</si>
  <si>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</si>
  <si>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</si>
  <si>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</si>
  <si>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</si>
  <si>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</si>
  <si>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</si>
  <si>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</si>
  <si>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</si>
  <si>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</si>
  <si>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</si>
  <si>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</si>
  <si>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</si>
  <si>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</si>
  <si>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</si>
  <si>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</si>
  <si>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</si>
  <si>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</si>
  <si>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</si>
  <si>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</si>
  <si>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</si>
  <si>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</si>
  <si>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</si>
  <si>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</si>
  <si>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</si>
  <si>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</si>
  <si>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</si>
  <si>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</si>
  <si>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</si>
  <si>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</si>
  <si>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</si>
  <si>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</si>
  <si>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</si>
  <si>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</si>
  <si>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</si>
  <si>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</si>
  <si>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</si>
  <si>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</si>
  <si>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</si>
  <si>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</si>
  <si>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</si>
  <si>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</si>
  <si>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</si>
  <si>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</si>
  <si>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</si>
  <si>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</si>
  <si>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</si>
  <si>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</si>
  <si>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</si>
  <si>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</si>
  <si>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</si>
  <si>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</si>
  <si>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</si>
  <si>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</si>
  <si>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</si>
  <si>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</si>
  <si>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</si>
  <si>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</si>
  <si>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</si>
  <si>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</si>
  <si>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</si>
  <si>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</si>
  <si>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</si>
  <si>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</si>
  <si>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</si>
  <si>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</si>
  <si>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</si>
  <si>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</si>
  <si>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</si>
  <si>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</si>
  <si>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</si>
  <si>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</si>
  <si>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</si>
  <si>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</si>
  <si>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</si>
  <si>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</si>
  <si>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</si>
  <si>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</si>
  <si>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</si>
  <si>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</si>
  <si>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</si>
  <si>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</si>
  <si>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</si>
  <si>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</si>
  <si>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</si>
  <si>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</si>
  <si>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</si>
  <si>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</si>
  <si>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</si>
  <si>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</si>
  <si>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</si>
  <si>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</si>
  <si>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</si>
  <si>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</si>
  <si>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</si>
  <si>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</si>
  <si>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</si>
  <si>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</si>
  <si>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</si>
  <si>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</si>
  <si>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</si>
  <si>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</si>
  <si>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</si>
  <si>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</si>
  <si>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</si>
  <si>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</si>
  <si>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</si>
  <si>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</si>
  <si>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</si>
  <si>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</si>
  <si>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</si>
  <si>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</si>
  <si>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</si>
  <si>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</si>
  <si>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</si>
  <si>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</si>
  <si>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</si>
  <si>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</si>
  <si>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</si>
  <si>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</si>
  <si>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</si>
  <si>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</si>
  <si>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</si>
  <si>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</si>
  <si>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</si>
  <si>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</si>
  <si>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</si>
  <si>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</si>
  <si>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</si>
  <si>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</si>
  <si>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</si>
  <si>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</si>
  <si>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</si>
  <si>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</si>
  <si>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</si>
  <si>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</si>
  <si>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</si>
  <si>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</si>
  <si>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</si>
  <si>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</si>
  <si>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</si>
  <si>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</si>
  <si>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</si>
  <si>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</si>
  <si>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</si>
  <si>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</si>
  <si>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</si>
  <si>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</si>
  <si>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</si>
  <si>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</si>
  <si>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</si>
  <si>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</si>
  <si>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</si>
  <si>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</si>
  <si>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</si>
  <si>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</si>
  <si>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</si>
  <si>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</si>
  <si>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</si>
  <si>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</si>
  <si>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</si>
  <si>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</si>
  <si>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</si>
  <si>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</si>
  <si>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</si>
  <si>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</si>
  <si>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</si>
  <si>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</si>
  <si>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</si>
  <si>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</si>
  <si>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</si>
  <si>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</si>
  <si>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</si>
  <si>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</si>
  <si>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</si>
  <si>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</si>
  <si>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</si>
  <si>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</si>
  <si>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</si>
  <si>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</si>
  <si>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</si>
  <si>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</si>
  <si>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</si>
  <si>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</si>
  <si>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</si>
  <si>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</si>
  <si>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</si>
  <si>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</si>
  <si>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</si>
  <si>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</si>
  <si>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</si>
  <si>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</si>
  <si>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</si>
  <si>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</si>
  <si>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</si>
  <si>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</si>
  <si>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</si>
  <si>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</si>
  <si>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</si>
  <si>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</si>
  <si>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</si>
  <si>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</si>
  <si>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</si>
  <si>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</si>
  <si>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</si>
  <si>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</si>
  <si>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</si>
  <si>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</si>
  <si>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</si>
  <si>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</si>
  <si>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</si>
  <si>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</si>
  <si>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</si>
  <si>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</si>
  <si>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</si>
  <si>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</si>
  <si>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</si>
  <si>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</si>
  <si>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</si>
  <si>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</si>
  <si>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</si>
  <si>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</si>
  <si>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</si>
  <si>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</si>
  <si>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</si>
  <si>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</si>
  <si>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</si>
  <si>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</si>
  <si>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</si>
  <si>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</si>
  <si>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</si>
  <si>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</si>
  <si>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</si>
  <si>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</si>
  <si>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</si>
  <si>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</si>
  <si>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</si>
  <si>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</si>
  <si>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</si>
  <si>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</si>
  <si>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</si>
  <si>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</si>
  <si>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</si>
  <si>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</si>
  <si>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</si>
  <si>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</si>
  <si>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</si>
  <si>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</si>
  <si>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</si>
  <si>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</si>
  <si>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</si>
  <si>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</si>
  <si>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</si>
  <si>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</si>
  <si>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</si>
  <si>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</si>
  <si>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</si>
  <si>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</si>
  <si>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</si>
  <si>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</si>
  <si>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</si>
  <si>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</si>
  <si>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</si>
  <si>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</si>
  <si>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</si>
  <si>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</si>
  <si>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</si>
  <si>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</si>
  <si>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</si>
  <si>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</si>
  <si>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</si>
  <si>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</si>
  <si>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</si>
  <si>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</si>
  <si>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</si>
  <si>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</si>
  <si>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</si>
  <si>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</si>
  <si>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</si>
  <si>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</si>
  <si>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</si>
  <si>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</si>
  <si>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</si>
  <si>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</si>
  <si>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</si>
  <si>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</si>
  <si>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</si>
  <si>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</si>
  <si>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</si>
  <si>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</si>
  <si>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</si>
  <si>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</si>
  <si>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</si>
  <si>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</si>
  <si>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</si>
  <si>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</si>
  <si>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</si>
  <si>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</si>
  <si>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</si>
  <si>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</si>
  <si>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</si>
  <si>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</si>
  <si>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</si>
  <si>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</si>
  <si>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</si>
  <si>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</si>
  <si>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</si>
  <si>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</si>
  <si>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</si>
  <si>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</si>
  <si>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</si>
  <si>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</si>
  <si>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</si>
  <si>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</si>
  <si>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</si>
  <si>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</si>
  <si>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</si>
  <si>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</si>
  <si>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</si>
  <si>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</si>
  <si>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</si>
  <si>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</si>
  <si>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</si>
  <si>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</si>
  <si>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</si>
  <si>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</si>
  <si>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</si>
  <si>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</si>
  <si>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</si>
  <si>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</si>
  <si>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</si>
  <si>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</si>
  <si>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</si>
  <si>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</si>
  <si>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</si>
  <si>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</si>
  <si>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</si>
  <si>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</si>
  <si>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</si>
  <si>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</si>
  <si>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</si>
  <si>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</si>
  <si>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</si>
  <si>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</si>
  <si>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</si>
  <si>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</si>
  <si>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</si>
  <si>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</si>
  <si>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</si>
  <si>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</si>
  <si>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</si>
  <si>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</si>
  <si>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</si>
  <si>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</si>
  <si>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</si>
  <si>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</si>
  <si>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</si>
  <si>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</si>
  <si>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</si>
  <si>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</si>
  <si>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</si>
  <si>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</si>
  <si>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</si>
  <si>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</si>
  <si>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</si>
  <si>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</si>
  <si>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</si>
  <si>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</si>
  <si>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</si>
  <si>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</si>
  <si>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</si>
  <si>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</si>
  <si>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</si>
  <si>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</si>
  <si>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</si>
  <si>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</si>
  <si>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</si>
  <si>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</si>
  <si>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</si>
  <si>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</si>
  <si>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</si>
  <si>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</si>
  <si>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</si>
  <si>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</si>
  <si>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</si>
  <si>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</si>
  <si>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</si>
  <si>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</si>
  <si>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</si>
  <si>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</si>
  <si>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</si>
  <si>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</si>
  <si>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</si>
  <si>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</si>
  <si>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</si>
  <si>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</si>
  <si>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</si>
  <si>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</si>
  <si>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</si>
  <si>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</si>
  <si>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</si>
  <si>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</si>
  <si>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</si>
  <si>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</si>
  <si>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</si>
  <si>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</si>
  <si>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</si>
  <si>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</si>
  <si>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</si>
  <si>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</si>
  <si>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</si>
  <si>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</si>
  <si>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</si>
  <si>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</si>
  <si>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</si>
  <si>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</si>
  <si>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</si>
  <si>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</si>
  <si>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</si>
  <si>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</si>
  <si>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</si>
  <si>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</si>
  <si>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</si>
  <si>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</si>
  <si>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</si>
  <si>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</si>
  <si>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</si>
  <si>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</si>
  <si>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</si>
  <si>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</si>
  <si>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</si>
  <si>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</si>
  <si>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</si>
  <si>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</si>
  <si>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</si>
  <si>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</si>
  <si>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</si>
  <si>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</si>
  <si>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</si>
  <si>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</si>
  <si>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</si>
  <si>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</si>
  <si>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</si>
  <si>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</si>
  <si>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</si>
  <si>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</si>
  <si>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</si>
  <si>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</si>
  <si>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</si>
  <si>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</si>
  <si>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</si>
  <si>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</si>
  <si>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</si>
  <si>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</si>
  <si>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</si>
  <si>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</si>
  <si>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</si>
  <si>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</si>
  <si>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</si>
  <si>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</si>
  <si>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</si>
  <si>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</si>
  <si>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</si>
  <si>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</si>
  <si>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</si>
  <si>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</si>
  <si>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</si>
  <si>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</si>
  <si>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</si>
  <si>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</si>
  <si>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</si>
  <si>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</si>
  <si>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</si>
  <si>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</si>
  <si>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</si>
  <si>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</si>
  <si>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</si>
  <si>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</si>
  <si>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</si>
  <si>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</si>
  <si>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</si>
  <si>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</si>
  <si>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</si>
  <si>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</si>
  <si>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</si>
  <si>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</si>
  <si>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</si>
  <si>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</si>
  <si>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</si>
  <si>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</si>
  <si>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</si>
  <si>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</si>
  <si>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</si>
  <si>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</si>
  <si>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</si>
  <si>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</si>
  <si>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</si>
  <si>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</si>
  <si>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</si>
  <si>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</si>
  <si>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</si>
  <si>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</si>
  <si>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</si>
  <si>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</si>
  <si>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</si>
  <si>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</si>
  <si>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</si>
  <si>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</si>
  <si>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</si>
  <si>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</si>
  <si>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</si>
  <si>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</si>
  <si>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</si>
  <si>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</si>
  <si>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</si>
  <si>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</si>
  <si>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</si>
  <si>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</si>
  <si>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</si>
  <si>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</si>
  <si>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</si>
  <si>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</si>
  <si>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</si>
  <si>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</si>
  <si>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</si>
  <si>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</si>
  <si>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</si>
  <si>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</si>
  <si>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</si>
  <si>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</si>
  <si>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</si>
  <si>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</si>
  <si>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</si>
  <si>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</si>
  <si>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</si>
  <si>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</si>
  <si>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</si>
  <si>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</si>
  <si>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</si>
  <si>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</si>
  <si>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</si>
  <si>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</si>
  <si>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</si>
  <si>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</si>
  <si>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</si>
  <si>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</si>
  <si>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</si>
  <si>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</si>
  <si>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</si>
  <si>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</si>
  <si>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</si>
  <si>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</si>
  <si>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</si>
  <si>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</si>
  <si>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</si>
  <si>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</si>
  <si>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</si>
  <si>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</si>
  <si>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</si>
  <si>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</si>
  <si>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</si>
  <si>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</si>
  <si>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</si>
  <si>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</si>
  <si>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</si>
  <si>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</si>
  <si>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</si>
  <si>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</si>
  <si>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</si>
  <si>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</si>
  <si>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</si>
  <si>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</si>
  <si>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</si>
  <si>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</si>
  <si>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</si>
  <si>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</si>
  <si>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</si>
  <si>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</si>
  <si>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</si>
  <si>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</si>
  <si>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</si>
  <si>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</si>
  <si>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</si>
  <si>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</si>
  <si>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</si>
  <si>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</si>
  <si>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</si>
  <si>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</si>
  <si>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</si>
  <si>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</si>
  <si>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</si>
  <si>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</si>
  <si>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</si>
  <si>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</si>
  <si>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</si>
  <si>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</si>
  <si>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</si>
  <si>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</si>
  <si>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</si>
  <si>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</si>
  <si>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</si>
  <si>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</si>
  <si>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</si>
  <si>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</si>
  <si>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</si>
  <si>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</si>
  <si>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</si>
  <si>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</si>
  <si>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</si>
  <si>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</si>
  <si>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</si>
  <si>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</si>
  <si>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</si>
  <si>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</si>
  <si>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</si>
  <si>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</si>
  <si>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</si>
  <si>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</si>
  <si>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</si>
  <si>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</si>
  <si>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</si>
  <si>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</si>
  <si>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</si>
  <si>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</si>
  <si>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</si>
  <si>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</si>
  <si>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</si>
  <si>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</si>
  <si>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</si>
  <si>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</si>
  <si>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</si>
  <si>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</si>
  <si>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</si>
  <si>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</si>
  <si>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</si>
  <si>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</si>
  <si>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</si>
  <si>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</si>
  <si>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</si>
  <si>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</si>
  <si>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</si>
  <si>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</si>
  <si>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</si>
  <si>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</si>
  <si>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</si>
  <si>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</si>
  <si>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</si>
  <si>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</si>
  <si>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</si>
  <si>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</si>
  <si>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</si>
  <si>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</si>
  <si>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</si>
  <si>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</si>
  <si>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</si>
  <si>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</si>
  <si>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</si>
  <si>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</si>
  <si>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</si>
  <si>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</si>
  <si>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</si>
  <si>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</si>
  <si>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</si>
  <si>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</si>
  <si>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</si>
  <si>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</si>
  <si>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</si>
  <si>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</si>
  <si>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</si>
  <si>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</si>
  <si>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</si>
  <si>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</si>
  <si>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</si>
  <si>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</si>
  <si>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</si>
  <si>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</si>
  <si>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</si>
  <si>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</si>
  <si>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</si>
  <si>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</si>
  <si>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</si>
  <si>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</si>
  <si>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</si>
  <si>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</si>
  <si>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</si>
  <si>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</si>
  <si>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</si>
  <si>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</si>
  <si>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</si>
  <si>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</si>
  <si>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</si>
  <si>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</si>
  <si>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</si>
  <si>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</si>
  <si>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</si>
  <si>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</si>
  <si>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</si>
  <si>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</si>
  <si>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</si>
  <si>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</si>
  <si>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</si>
  <si>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</si>
  <si>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</si>
  <si>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</si>
  <si>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</si>
  <si>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</si>
  <si>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</si>
  <si>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</si>
  <si>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</si>
  <si>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</si>
  <si>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</si>
  <si>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</si>
  <si>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</si>
  <si>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</si>
  <si>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</si>
  <si>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</si>
  <si>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</si>
  <si>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</si>
  <si>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</si>
  <si>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</si>
  <si>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</si>
  <si>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</si>
  <si>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</si>
  <si>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</si>
  <si>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</si>
  <si>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</si>
  <si>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</si>
  <si>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</si>
  <si>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</si>
  <si>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</si>
  <si>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</si>
  <si>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</si>
  <si>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</si>
  <si>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</si>
  <si>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</si>
  <si>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</si>
  <si>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</si>
  <si>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</si>
  <si>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</si>
  <si>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</si>
  <si>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</si>
  <si>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</si>
  <si>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</si>
  <si>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</si>
  <si>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</si>
  <si>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</si>
  <si>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</si>
  <si>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</si>
  <si>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</si>
  <si>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</si>
  <si>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</si>
  <si>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</si>
  <si>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</si>
  <si>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</si>
  <si>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</si>
  <si>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</si>
  <si>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</si>
  <si>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</si>
  <si>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</si>
  <si>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</si>
  <si>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</si>
  <si>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</si>
  <si>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</si>
  <si>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</si>
  <si>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</si>
  <si>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</si>
  <si>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</si>
  <si>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</si>
  <si>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</si>
  <si>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</si>
  <si>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</si>
  <si>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</si>
  <si>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</si>
  <si>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</si>
  <si>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</si>
  <si>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</si>
  <si>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</si>
  <si>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</si>
  <si>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</si>
  <si>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</si>
  <si>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</si>
  <si>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</si>
  <si>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</si>
  <si>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</si>
  <si>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</si>
  <si>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</si>
  <si>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</si>
  <si>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</si>
  <si>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</si>
  <si>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</si>
  <si>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</si>
  <si>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</si>
  <si>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</si>
  <si>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</si>
  <si>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</si>
  <si>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</si>
  <si>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</si>
  <si>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</si>
  <si>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</si>
  <si>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</si>
  <si>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</si>
  <si>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</si>
  <si>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</si>
  <si>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</si>
  <si>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</si>
  <si>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</si>
  <si>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</si>
  <si>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</si>
  <si>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</si>
  <si>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</si>
  <si>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</si>
  <si>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</si>
  <si>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</si>
  <si>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</si>
  <si>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</si>
  <si>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</si>
  <si>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</si>
  <si>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</si>
  <si>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</si>
  <si>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</si>
  <si>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</si>
  <si>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</si>
  <si>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</si>
  <si>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</si>
  <si>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</si>
  <si>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</si>
  <si>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</si>
  <si>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</si>
  <si>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</si>
  <si>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</si>
  <si>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</si>
  <si>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</si>
  <si>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</si>
  <si>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</si>
  <si>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</si>
  <si>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</si>
  <si>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</si>
  <si>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</si>
  <si>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</si>
  <si>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</si>
  <si>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</si>
  <si>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</si>
  <si>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</si>
  <si>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</si>
  <si>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</si>
  <si>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</si>
  <si>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</si>
  <si>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</si>
  <si>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</si>
  <si>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</si>
  <si>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</si>
  <si>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</si>
  <si>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</si>
  <si>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</si>
  <si>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</si>
  <si>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</si>
  <si>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</si>
  <si>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</si>
  <si>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</si>
  <si>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</si>
  <si>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</si>
  <si>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</si>
  <si>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</si>
  <si>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</si>
  <si>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</si>
  <si>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</si>
  <si>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</si>
  <si>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</si>
  <si>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</si>
  <si>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</si>
  <si>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</si>
  <si>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</si>
  <si>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</si>
  <si>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</si>
  <si>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</si>
  <si>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</si>
  <si>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</si>
  <si>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</si>
  <si>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</si>
  <si>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</si>
  <si>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</si>
  <si>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</si>
  <si>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</si>
  <si>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</si>
  <si>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</si>
  <si>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</si>
  <si>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</si>
  <si>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</si>
  <si>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</si>
  <si>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</si>
  <si>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</si>
  <si>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</si>
  <si>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</si>
  <si>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</si>
  <si>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</si>
  <si>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</si>
  <si>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</si>
  <si>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</si>
  <si>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</si>
  <si>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</si>
  <si>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</si>
  <si>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</si>
  <si>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</si>
  <si>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</si>
  <si>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</si>
  <si>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</si>
  <si>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</si>
  <si>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</si>
  <si>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</si>
  <si>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</si>
  <si>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</si>
  <si>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</si>
  <si>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</si>
  <si>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</si>
  <si>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</si>
  <si>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</si>
  <si>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</si>
  <si>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</si>
  <si>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</si>
  <si>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</si>
  <si>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</si>
  <si>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</si>
  <si>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</si>
  <si>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</si>
  <si>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</si>
  <si>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</si>
  <si>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</si>
  <si>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</si>
  <si>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</si>
  <si>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</si>
  <si>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</si>
  <si>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</si>
  <si>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</si>
  <si>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</si>
  <si>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</si>
  <si>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</si>
  <si>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</si>
  <si>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</si>
  <si>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</si>
  <si>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</si>
  <si>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</si>
  <si>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</si>
  <si>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</si>
  <si>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</si>
  <si>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</si>
  <si>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</si>
  <si>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</si>
  <si>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</si>
  <si>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</si>
  <si>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</si>
  <si>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</si>
  <si>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</si>
  <si>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</si>
  <si>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</si>
  <si>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</si>
  <si>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</si>
  <si>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</si>
  <si>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</si>
  <si>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</si>
  <si>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</si>
  <si>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</si>
  <si>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</si>
  <si>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</si>
  <si>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</si>
  <si>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</si>
  <si>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</si>
  <si>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</si>
  <si>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</si>
  <si>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</si>
  <si>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</si>
  <si>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</si>
  <si>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</si>
  <si>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</si>
  <si>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</si>
  <si>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</si>
  <si>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</si>
  <si>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</si>
  <si>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</si>
  <si>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</si>
  <si>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</si>
  <si>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</si>
  <si>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</si>
  <si>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</si>
  <si>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</si>
  <si>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</si>
  <si>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</si>
  <si>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</si>
  <si>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</si>
  <si>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</si>
  <si>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</si>
  <si>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</si>
  <si>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</si>
  <si>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</si>
  <si>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</si>
  <si>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</si>
  <si>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</si>
  <si>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</si>
  <si>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</si>
  <si>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</si>
  <si>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</si>
  <si>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</si>
  <si>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</si>
  <si>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</si>
  <si>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</si>
  <si>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</si>
  <si>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</si>
  <si>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</si>
  <si>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</si>
  <si>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</si>
  <si>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</si>
  <si>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</si>
  <si>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</si>
  <si>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</si>
  <si>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</si>
  <si>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</si>
  <si>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</si>
  <si>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</si>
  <si>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</si>
  <si>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</si>
  <si>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</si>
  <si>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</si>
  <si>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</si>
  <si>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</si>
  <si>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</si>
  <si>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</si>
  <si>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</si>
  <si>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</si>
  <si>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</si>
  <si>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</si>
  <si>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</si>
  <si>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</si>
  <si>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</si>
  <si>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</si>
  <si>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</si>
  <si>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</si>
  <si>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</si>
  <si>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</si>
  <si>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</si>
  <si>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</si>
  <si>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</si>
  <si>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</si>
  <si>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</si>
  <si>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</si>
  <si>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</si>
  <si>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</si>
  <si>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</si>
  <si>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</si>
  <si>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</si>
  <si>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</si>
  <si>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</si>
  <si>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</si>
  <si>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</si>
  <si>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</si>
  <si>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</si>
  <si>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</si>
  <si>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</si>
  <si>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</si>
  <si>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</si>
  <si>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</si>
  <si>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</si>
  <si>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</si>
  <si>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</si>
  <si>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</si>
  <si>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</si>
  <si>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</si>
  <si>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</si>
  <si>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</si>
  <si>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</si>
  <si>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</si>
  <si>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</si>
  <si>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</si>
  <si>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</si>
  <si>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</si>
  <si>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</si>
  <si>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</si>
  <si>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</si>
  <si>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</si>
  <si>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</si>
  <si>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</si>
  <si>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</si>
  <si>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</si>
  <si>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</si>
  <si>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</si>
  <si>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</si>
  <si>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</si>
  <si>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</si>
  <si>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</si>
  <si>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</si>
  <si>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</si>
  <si>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</si>
  <si>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</si>
  <si>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</si>
  <si>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</si>
  <si>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</si>
  <si>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</si>
  <si>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</si>
  <si>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</si>
  <si>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</si>
  <si>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</si>
  <si>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</si>
  <si>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</si>
  <si>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</si>
  <si>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</si>
  <si>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</si>
  <si>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</si>
  <si>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</si>
  <si>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</si>
  <si>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</si>
  <si>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</si>
  <si>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</si>
  <si>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</si>
  <si>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</si>
  <si>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</si>
  <si>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</si>
  <si>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</si>
  <si>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</si>
  <si>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</si>
  <si>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</si>
  <si>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</si>
  <si>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</si>
  <si>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</si>
  <si>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</si>
  <si>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</si>
  <si>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</si>
  <si>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</si>
  <si>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</si>
  <si>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</si>
  <si>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</si>
  <si>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</si>
  <si>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</si>
  <si>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</si>
  <si>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</si>
  <si>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</si>
  <si>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</si>
  <si>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</si>
  <si>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</si>
  <si>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</si>
  <si>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</si>
  <si>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</si>
  <si>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</si>
  <si>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</si>
  <si>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</si>
  <si>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</si>
  <si>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</si>
  <si>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</si>
  <si>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</si>
  <si>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</si>
  <si>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</si>
  <si>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</si>
  <si>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</si>
  <si>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</si>
  <si>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</si>
  <si>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</si>
  <si>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</si>
  <si>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</si>
  <si>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</si>
  <si>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</si>
  <si>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</si>
  <si>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</si>
  <si>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</si>
  <si>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</si>
  <si>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</si>
  <si>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</si>
  <si>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</si>
  <si>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</si>
  <si>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</si>
  <si>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</si>
  <si>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</si>
  <si>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</si>
  <si>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</si>
  <si>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</si>
  <si>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</si>
  <si>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</si>
  <si>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</si>
  <si>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</si>
  <si>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</si>
  <si>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</si>
  <si>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</si>
  <si>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</si>
  <si>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</si>
  <si>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</si>
  <si>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</si>
  <si>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</si>
  <si>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</si>
  <si>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</si>
  <si>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</si>
  <si>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</si>
  <si>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</si>
  <si>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</si>
  <si>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</si>
  <si>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</si>
  <si>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</si>
  <si>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</si>
  <si>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</si>
  <si>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</si>
  <si>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</si>
  <si>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</si>
  <si>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</si>
  <si>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</si>
  <si>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</si>
  <si>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</si>
  <si>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</si>
  <si>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</si>
  <si>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</si>
  <si>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</si>
  <si>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</si>
  <si>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</si>
  <si>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</si>
  <si>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</si>
  <si>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</si>
  <si>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</si>
  <si>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</si>
  <si>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</si>
  <si>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</si>
  <si>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</si>
  <si>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</si>
  <si>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</si>
  <si>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</si>
  <si>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</si>
  <si>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</si>
  <si>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</si>
  <si>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</si>
  <si>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</si>
  <si>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</si>
  <si>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</si>
  <si>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</si>
  <si>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</si>
  <si>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</si>
  <si>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</si>
  <si>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</si>
  <si>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</si>
  <si>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</si>
  <si>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</si>
  <si>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</si>
  <si>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</si>
  <si>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</si>
  <si>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</si>
  <si>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</si>
  <si>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</si>
  <si>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</si>
  <si>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</si>
  <si>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</si>
  <si>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</si>
  <si>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</si>
  <si>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</si>
  <si>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</si>
  <si>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</si>
  <si>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</si>
  <si>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</si>
  <si>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</si>
  <si>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</si>
  <si>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</si>
  <si>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</si>
  <si>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</si>
  <si>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</si>
  <si>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</si>
  <si>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</si>
  <si>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</si>
  <si>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</si>
  <si>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</si>
  <si>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</si>
  <si>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</si>
  <si>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</si>
  <si>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</si>
  <si>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</si>
  <si>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</si>
  <si>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</si>
  <si>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</si>
  <si>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</si>
  <si>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</si>
  <si>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</si>
  <si>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</si>
  <si>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</si>
  <si>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</si>
  <si>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</si>
  <si>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</si>
  <si>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</si>
  <si>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</si>
  <si>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</si>
  <si>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</si>
  <si>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</si>
  <si>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</si>
  <si>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</si>
  <si>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</si>
  <si>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</si>
  <si>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</si>
  <si>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</si>
  <si>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</si>
  <si>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</si>
  <si>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</si>
  <si>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</si>
  <si>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</si>
  <si>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</si>
  <si>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</si>
  <si>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</si>
  <si>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</si>
  <si>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</si>
  <si>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</si>
  <si>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</si>
  <si>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</si>
  <si>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</si>
  <si>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</si>
  <si>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</si>
  <si>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</si>
  <si>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</si>
  <si>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</si>
  <si>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</si>
  <si>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</si>
  <si>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</si>
  <si>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</si>
  <si>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</si>
  <si>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</si>
  <si>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</si>
  <si>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</si>
  <si>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</si>
  <si>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</si>
  <si>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</si>
  <si>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</si>
  <si>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</si>
  <si>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</si>
  <si>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</si>
  <si>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</si>
  <si>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</si>
  <si>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</si>
  <si>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</si>
  <si>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</si>
  <si>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</si>
  <si>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</si>
  <si>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</si>
  <si>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</si>
  <si>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</si>
  <si>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</si>
  <si>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</si>
  <si>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</si>
  <si>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</si>
  <si>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</si>
  <si>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</si>
  <si>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</si>
  <si>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</si>
  <si>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</si>
  <si>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</si>
  <si>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</si>
  <si>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</si>
  <si>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</si>
  <si>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</si>
  <si>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</si>
  <si>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</si>
  <si>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</si>
  <si>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</si>
  <si>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</si>
  <si>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</si>
  <si>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</si>
  <si>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</si>
  <si>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</si>
  <si>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</si>
  <si>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</si>
  <si>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</si>
  <si>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</si>
  <si>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</si>
  <si>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</si>
  <si>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</si>
  <si>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</si>
  <si>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</si>
  <si>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</si>
  <si>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</si>
  <si>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</si>
  <si>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</si>
  <si>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</si>
  <si>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</si>
  <si>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</si>
  <si>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</si>
  <si>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</si>
  <si>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</si>
  <si>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</si>
  <si>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</si>
  <si>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</si>
  <si>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</si>
  <si>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</si>
  <si>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</si>
  <si>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</si>
  <si>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</si>
  <si>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</si>
  <si>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</si>
  <si>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</si>
  <si>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</si>
  <si>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</si>
  <si>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</si>
  <si>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</si>
  <si>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</si>
  <si>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</si>
  <si>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</si>
  <si>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</si>
  <si>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</si>
  <si>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</si>
  <si>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</si>
  <si>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</si>
  <si>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</si>
  <si>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</si>
  <si>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</si>
  <si>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</si>
  <si>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</si>
  <si>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</si>
  <si>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</si>
  <si>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</si>
  <si>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</si>
  <si>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</si>
  <si>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</si>
  <si>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</si>
  <si>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</si>
  <si>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</si>
  <si>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</si>
  <si>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</si>
  <si>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</si>
  <si>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</si>
  <si>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</si>
  <si>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</si>
  <si>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</si>
  <si>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</si>
  <si>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</si>
  <si>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</si>
  <si>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</si>
  <si>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</si>
  <si>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</si>
  <si>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</si>
  <si>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</si>
  <si>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</si>
  <si>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</si>
  <si>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</si>
  <si>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</si>
  <si>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</si>
  <si>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</si>
  <si>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</si>
  <si>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</si>
  <si>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</si>
  <si>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</si>
  <si>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</si>
  <si>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</si>
  <si>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</si>
  <si>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</si>
  <si>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</si>
  <si>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</si>
  <si>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</si>
  <si>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</si>
  <si>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</si>
  <si>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</si>
  <si>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</si>
  <si>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</si>
  <si>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</si>
  <si>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</si>
  <si>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</si>
  <si>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</si>
  <si>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</si>
  <si>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</si>
  <si>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</si>
  <si>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</si>
  <si>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</si>
  <si>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</si>
  <si>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</si>
  <si>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</si>
  <si>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</si>
  <si>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</si>
  <si>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</si>
  <si>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</si>
  <si>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</si>
  <si>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</si>
  <si>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</si>
  <si>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</si>
  <si>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</si>
  <si>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</si>
  <si>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</si>
  <si>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</si>
  <si>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</si>
  <si>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</si>
  <si>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</si>
  <si>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</si>
  <si>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</si>
  <si>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</si>
  <si>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</si>
  <si>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</si>
  <si>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</si>
  <si>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</si>
  <si>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</si>
  <si>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</si>
  <si>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</si>
  <si>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</si>
  <si>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</si>
  <si>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</si>
  <si>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</si>
  <si>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</si>
  <si>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</si>
  <si>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</si>
  <si>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</si>
  <si>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</si>
  <si>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</si>
  <si>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</si>
  <si>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</si>
  <si>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</si>
  <si>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</si>
  <si>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</si>
  <si>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</si>
  <si>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</si>
  <si>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</si>
  <si>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</si>
  <si>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</si>
  <si>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</si>
  <si>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</si>
  <si>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</si>
  <si>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</si>
  <si>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</si>
  <si>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</si>
  <si>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</si>
  <si>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</si>
  <si>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</si>
  <si>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</si>
  <si>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</si>
  <si>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</si>
  <si>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</si>
  <si>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</si>
  <si>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</si>
  <si>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</si>
  <si>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</si>
  <si>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</si>
  <si>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</si>
  <si>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</si>
  <si>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</si>
  <si>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</si>
  <si>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</si>
  <si>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</si>
  <si>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</si>
  <si>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</si>
  <si>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</si>
  <si>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</si>
  <si>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</si>
  <si>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</si>
  <si>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</si>
  <si>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</si>
  <si>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</si>
  <si>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</si>
  <si>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</si>
  <si>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</si>
  <si>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</si>
  <si>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</si>
  <si>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</si>
  <si>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</si>
  <si>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</si>
  <si>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</si>
  <si>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</si>
  <si>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</si>
  <si>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</si>
  <si>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</si>
  <si>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</si>
  <si>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</si>
  <si>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</si>
  <si>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</si>
  <si>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</si>
  <si>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</si>
  <si>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</si>
  <si>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</si>
  <si>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</si>
  <si>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</si>
  <si>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</si>
  <si>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</si>
  <si>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</si>
  <si>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</si>
  <si>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</si>
  <si>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</si>
  <si>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</si>
  <si>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</si>
  <si>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</si>
  <si>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</si>
  <si>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</si>
  <si>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</si>
  <si>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</si>
  <si>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</si>
  <si>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</si>
  <si>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</si>
  <si>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</si>
  <si>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</si>
  <si>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</si>
  <si>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</si>
  <si>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</si>
  <si>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</si>
  <si>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</si>
  <si>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</si>
  <si>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</si>
  <si>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</si>
  <si>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</si>
  <si>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</si>
  <si>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</si>
  <si>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</si>
  <si>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</si>
  <si>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</si>
  <si>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</si>
  <si>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</si>
  <si>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</si>
  <si>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</si>
  <si>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</si>
  <si>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</si>
  <si>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</si>
  <si>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</si>
  <si>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</si>
  <si>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</si>
  <si>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</si>
  <si>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</si>
  <si>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</si>
  <si>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</si>
  <si>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</si>
  <si>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</si>
  <si>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</si>
  <si>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</si>
  <si>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</si>
  <si>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</si>
  <si>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</si>
  <si>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</si>
  <si>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</si>
  <si>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</si>
  <si>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</si>
  <si>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</si>
  <si>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</si>
  <si>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</si>
  <si>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</si>
  <si>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</si>
  <si>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</si>
  <si>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</si>
  <si>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</si>
  <si>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</si>
  <si>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</si>
  <si>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</si>
  <si>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</si>
  <si>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</si>
  <si>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</si>
  <si>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</si>
  <si>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</si>
  <si>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</si>
  <si>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</si>
  <si>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</si>
  <si>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</si>
  <si>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</si>
  <si>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</si>
  <si>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</si>
  <si>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</si>
  <si>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</si>
  <si>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</si>
  <si>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</si>
  <si>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</si>
  <si>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</si>
  <si>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</si>
  <si>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</si>
  <si>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</si>
  <si>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</si>
  <si>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</si>
  <si>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</si>
  <si>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</si>
  <si>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</si>
  <si>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</si>
  <si>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</si>
  <si>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</si>
  <si>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</si>
  <si>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</si>
  <si>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</si>
  <si>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</si>
  <si>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</si>
  <si>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</si>
  <si>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</si>
  <si>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</si>
  <si>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</si>
  <si>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</si>
  <si>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</si>
  <si>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</si>
  <si>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</si>
  <si>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</si>
  <si>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</si>
  <si>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</si>
  <si>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</si>
  <si>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</si>
  <si>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</si>
  <si>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</si>
  <si>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</si>
  <si>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</si>
  <si>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</si>
  <si>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</si>
  <si>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</si>
  <si>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</si>
  <si>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</si>
  <si>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</si>
  <si>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</si>
  <si>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</si>
  <si>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</si>
  <si>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</si>
  <si>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</si>
  <si>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</si>
  <si>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</si>
  <si>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</si>
  <si>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</si>
  <si>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</si>
  <si>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</si>
  <si>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</si>
  <si>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</si>
  <si>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</si>
  <si>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</si>
  <si>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</si>
  <si>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</si>
  <si>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</si>
  <si>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</si>
  <si>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</si>
  <si>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</si>
  <si>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</si>
  <si>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</si>
  <si>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</si>
  <si>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</si>
  <si>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</si>
  <si>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</si>
  <si>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</si>
  <si>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</si>
  <si>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</si>
  <si>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</si>
  <si>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</si>
  <si>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</si>
  <si>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</si>
  <si>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</si>
  <si>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</si>
  <si>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</si>
  <si>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</si>
  <si>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</si>
  <si>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</si>
  <si>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</si>
  <si>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</si>
  <si>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</si>
  <si>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</si>
  <si>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</si>
  <si>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</si>
  <si>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</si>
  <si>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</si>
  <si>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</si>
  <si>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</si>
  <si>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</si>
  <si>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</si>
  <si>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</si>
  <si>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</si>
  <si>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</si>
  <si>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</si>
  <si>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</si>
  <si>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</si>
  <si>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</si>
  <si>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</si>
  <si>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</si>
  <si>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</si>
  <si>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</si>
  <si>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</si>
  <si>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</si>
  <si>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</si>
  <si>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</si>
  <si>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</si>
  <si>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</si>
  <si>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</si>
  <si>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</si>
  <si>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</si>
  <si>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</si>
  <si>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</si>
  <si>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</si>
  <si>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</si>
  <si>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</si>
  <si>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</si>
  <si>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</si>
  <si>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</si>
  <si>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</si>
  <si>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</si>
  <si>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</si>
  <si>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</si>
  <si>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</si>
  <si>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</si>
  <si>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</si>
  <si>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</si>
  <si>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</si>
  <si>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</si>
  <si>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</si>
  <si>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</si>
  <si>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</si>
  <si>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</si>
  <si>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</si>
  <si>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</si>
  <si>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</si>
  <si>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</si>
  <si>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</si>
  <si>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</si>
  <si>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</si>
  <si>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</si>
  <si>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</si>
  <si>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</si>
  <si>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</si>
  <si>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</si>
  <si>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</si>
  <si>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</si>
  <si>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</si>
  <si>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</si>
  <si>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</si>
  <si>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</si>
  <si>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</si>
  <si>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</si>
  <si>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</si>
  <si>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</si>
  <si>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</si>
  <si>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</si>
  <si>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</si>
  <si>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</si>
  <si>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</si>
  <si>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</si>
  <si>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</si>
  <si>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</si>
  <si>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</si>
  <si>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</si>
  <si>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</si>
  <si>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</si>
  <si>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</si>
  <si>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</si>
  <si>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</si>
  <si>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</si>
  <si>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</si>
  <si>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</si>
  <si>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</si>
  <si>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</si>
  <si>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</si>
  <si>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</si>
  <si>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</si>
  <si>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</si>
  <si>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</si>
  <si>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</si>
  <si>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</si>
  <si>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</si>
  <si>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</si>
  <si>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</si>
  <si>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</si>
  <si>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</si>
  <si>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</si>
  <si>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</si>
  <si>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</si>
  <si>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</si>
  <si>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</si>
  <si>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</si>
  <si>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</si>
  <si>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</si>
  <si>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</si>
  <si>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</si>
  <si>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</si>
  <si>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</si>
  <si>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</si>
  <si>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</si>
  <si>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</si>
  <si>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</si>
  <si>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</si>
  <si>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</si>
  <si>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</si>
  <si>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</si>
  <si>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</si>
  <si>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</si>
  <si>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</si>
  <si>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</si>
  <si>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</si>
  <si>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</si>
  <si>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</si>
  <si>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</si>
  <si>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</si>
  <si>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</si>
  <si>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</si>
  <si>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</si>
  <si>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</si>
  <si>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</si>
  <si>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</si>
  <si>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</si>
  <si>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</si>
  <si>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</si>
  <si>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</si>
  <si>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</si>
  <si>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</si>
  <si>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</si>
  <si>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</si>
  <si>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</si>
  <si>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</si>
  <si>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</si>
  <si>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</si>
  <si>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</si>
  <si>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</si>
  <si>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</si>
  <si>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</si>
  <si>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</si>
  <si>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</si>
  <si>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</si>
  <si>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</si>
  <si>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</si>
  <si>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</si>
  <si>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</si>
  <si>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</si>
  <si>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</si>
  <si>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</si>
  <si>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</si>
  <si>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</si>
  <si>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</si>
  <si>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</si>
  <si>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</si>
  <si>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</si>
  <si>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</si>
  <si>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</si>
  <si>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</si>
  <si>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</si>
  <si>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</si>
  <si>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</si>
  <si>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</si>
  <si>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</si>
  <si>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</si>
  <si>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</si>
  <si>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</si>
  <si>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</si>
  <si>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</si>
  <si>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</si>
  <si>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</si>
  <si>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</si>
  <si>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</si>
  <si>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</si>
  <si>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</si>
  <si>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</si>
  <si>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</si>
  <si>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</si>
  <si>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</si>
  <si>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</si>
  <si>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</si>
  <si>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</si>
  <si>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</si>
  <si>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</si>
  <si>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</si>
  <si>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</si>
  <si>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</si>
  <si>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</si>
  <si>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</si>
  <si>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</si>
  <si>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</si>
  <si>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</si>
  <si>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</si>
  <si>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</si>
  <si>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</si>
  <si>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</si>
  <si>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</si>
  <si>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</si>
  <si>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</si>
  <si>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</si>
  <si>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</si>
  <si>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</si>
  <si>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</si>
  <si>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</si>
  <si>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</si>
  <si>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</si>
  <si>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</si>
  <si>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</si>
  <si>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</si>
  <si>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</si>
  <si>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</si>
  <si>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</si>
  <si>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</si>
  <si>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</si>
  <si>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</si>
  <si>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</si>
  <si>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</si>
  <si>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</si>
  <si>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</si>
  <si>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</si>
  <si>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</si>
  <si>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</si>
  <si>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</si>
  <si>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</si>
  <si>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</si>
  <si>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</si>
  <si>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</si>
  <si>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</si>
  <si>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</si>
  <si>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</si>
  <si>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</si>
  <si>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</si>
  <si>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</si>
  <si>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</si>
  <si>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</si>
  <si>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</si>
  <si>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</si>
  <si>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</si>
  <si>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</si>
  <si>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</si>
  <si>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</si>
  <si>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</si>
  <si>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</si>
  <si>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</si>
  <si>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</si>
  <si>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</si>
  <si>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</si>
  <si>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</si>
  <si>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</si>
  <si>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</si>
  <si>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</si>
  <si>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</si>
  <si>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</si>
  <si>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</si>
  <si>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</si>
  <si>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</si>
  <si>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</si>
  <si>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</si>
  <si>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</si>
  <si>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</si>
  <si>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</si>
  <si>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</si>
  <si>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</si>
  <si>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</si>
  <si>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</si>
  <si>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</si>
  <si>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</si>
  <si>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</si>
  <si>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</si>
  <si>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</si>
  <si>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</si>
  <si>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</si>
  <si>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</si>
  <si>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</si>
  <si>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</si>
  <si>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</si>
  <si>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</si>
  <si>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</si>
  <si>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</si>
  <si>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</si>
  <si>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</si>
  <si>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</si>
  <si>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</si>
  <si>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</si>
  <si>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</si>
  <si>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</si>
  <si>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</si>
  <si>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</si>
  <si>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</si>
  <si>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</si>
  <si>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</si>
  <si>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</si>
  <si>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</si>
  <si>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</si>
  <si>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</si>
  <si>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</si>
  <si>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</si>
  <si>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</si>
  <si>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</si>
  <si>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</si>
  <si>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</si>
  <si>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</si>
  <si>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</si>
  <si>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</si>
  <si>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</si>
  <si>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</si>
  <si>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</si>
  <si>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</si>
  <si>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</si>
  <si>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</si>
  <si>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</si>
  <si>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</si>
  <si>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</si>
  <si>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</si>
  <si>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</si>
  <si>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</si>
  <si>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</si>
  <si>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</si>
  <si>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</si>
  <si>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</si>
  <si>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</si>
  <si>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</si>
  <si>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</si>
  <si>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</si>
  <si>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</si>
  <si>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</si>
  <si>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</si>
  <si>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</si>
  <si>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</si>
  <si>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</si>
  <si>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</si>
  <si>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</si>
  <si>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</si>
  <si>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</si>
  <si>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</si>
  <si>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</si>
  <si>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</si>
  <si>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</si>
  <si>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</si>
  <si>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</si>
  <si>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</si>
  <si>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</si>
  <si>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</si>
  <si>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</si>
  <si>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</si>
  <si>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</si>
  <si>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</si>
  <si>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</si>
  <si>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</si>
  <si>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</si>
  <si>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</si>
  <si>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</si>
  <si>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</si>
  <si>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</si>
  <si>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</si>
  <si>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</si>
  <si>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</si>
  <si>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</si>
  <si>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</si>
  <si>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</si>
  <si>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</si>
  <si>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</si>
  <si>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</si>
  <si>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</si>
  <si>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</si>
  <si>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</si>
  <si>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</si>
  <si>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</si>
  <si>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</si>
  <si>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</si>
  <si>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</si>
  <si>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</si>
  <si>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</si>
  <si>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</si>
  <si>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</si>
  <si>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</si>
  <si>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</si>
  <si>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</si>
  <si>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</si>
  <si>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</si>
  <si>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</si>
  <si>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</si>
  <si>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</si>
  <si>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</si>
  <si>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</si>
  <si>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</si>
  <si>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</si>
  <si>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</si>
  <si>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</si>
  <si>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</si>
  <si>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</si>
  <si>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</si>
  <si>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</si>
  <si>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</si>
  <si>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</si>
  <si>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</si>
  <si>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</si>
  <si>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</si>
  <si>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</si>
  <si>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</si>
  <si>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</si>
  <si>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</si>
  <si>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</si>
  <si>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</si>
  <si>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</si>
  <si>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</si>
  <si>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</si>
  <si>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</si>
  <si>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</si>
  <si>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</si>
  <si>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</si>
  <si>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</si>
  <si>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</si>
  <si>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</si>
  <si>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</si>
  <si>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</si>
  <si>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</si>
  <si>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</si>
  <si>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</si>
  <si>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</si>
  <si>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</si>
  <si>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</si>
  <si>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</si>
  <si>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</si>
  <si>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</si>
  <si>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</si>
  <si>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</si>
  <si>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</si>
  <si>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</si>
  <si>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</si>
  <si>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</si>
  <si>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</si>
  <si>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</si>
  <si>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</si>
  <si>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</si>
  <si>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</si>
  <si>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</si>
  <si>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</si>
  <si>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</si>
  <si>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</si>
  <si>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</si>
  <si>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</si>
  <si>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</si>
  <si>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</si>
  <si>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</si>
  <si>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</si>
  <si>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</si>
  <si>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</si>
  <si>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</si>
  <si>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</si>
  <si>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</si>
  <si>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</si>
  <si>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</si>
  <si>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</si>
  <si>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</si>
  <si>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</si>
  <si>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</si>
  <si>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</si>
  <si>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</si>
  <si>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</si>
  <si>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</si>
  <si>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</si>
  <si>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</si>
  <si>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</si>
  <si>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</si>
  <si>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</si>
  <si>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</si>
  <si>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</si>
  <si>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</si>
  <si>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</si>
  <si>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</si>
  <si>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</si>
  <si>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</si>
  <si>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</si>
  <si>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</si>
  <si>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</si>
  <si>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</si>
  <si>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</si>
  <si>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</si>
  <si>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</si>
  <si>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</si>
  <si>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</si>
  <si>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</si>
  <si>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</si>
  <si>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</si>
  <si>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</si>
  <si>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</si>
  <si>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</si>
  <si>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</si>
  <si>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</si>
  <si>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</si>
  <si>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</si>
  <si>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</si>
  <si>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</si>
  <si>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</si>
  <si>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</si>
  <si>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</si>
  <si>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</si>
  <si>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</si>
  <si>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</si>
  <si>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</si>
  <si>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</si>
  <si>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</si>
  <si>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</si>
  <si>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</si>
  <si>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</si>
  <si>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</si>
  <si>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</si>
  <si>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</si>
  <si>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</si>
  <si>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</si>
  <si>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</si>
  <si>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</si>
  <si>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</si>
  <si>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</si>
  <si>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</si>
  <si>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</si>
  <si>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</si>
  <si>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</si>
  <si>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</si>
  <si>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</si>
  <si>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</si>
  <si>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</si>
  <si>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</si>
  <si>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</si>
  <si>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</si>
  <si>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</si>
  <si>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</si>
  <si>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</si>
  <si>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</si>
  <si>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</si>
  <si>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</si>
  <si>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</si>
  <si>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</si>
  <si>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</si>
  <si>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</si>
  <si>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</si>
  <si>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</si>
  <si>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</si>
  <si>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</si>
  <si>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</si>
  <si>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</si>
  <si>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</si>
  <si>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</si>
  <si>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</si>
  <si>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</si>
  <si>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</si>
  <si>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</si>
  <si>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</si>
  <si>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</si>
  <si>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</si>
  <si>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</si>
  <si>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</si>
  <si>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</si>
  <si>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</si>
  <si>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</si>
  <si>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</si>
  <si>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</si>
  <si>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</si>
  <si>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</si>
  <si>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</si>
  <si>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</si>
  <si>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</si>
  <si>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</si>
  <si>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</si>
  <si>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</si>
  <si>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</si>
  <si>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</si>
  <si>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</si>
  <si>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</si>
  <si>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</si>
  <si>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</si>
  <si>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</si>
  <si>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</si>
  <si>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</si>
  <si>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</si>
  <si>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</si>
  <si>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</si>
  <si>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</si>
  <si>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</si>
  <si>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</si>
  <si>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</si>
  <si>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</si>
  <si>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</si>
  <si>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</si>
  <si>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</si>
  <si>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</si>
  <si>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</si>
  <si>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</si>
  <si>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</si>
  <si>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</si>
  <si>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</si>
  <si>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</si>
  <si>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</si>
  <si>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</si>
  <si>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</si>
  <si>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</si>
  <si>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</si>
  <si>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</si>
  <si>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</si>
  <si>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</si>
  <si>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</si>
  <si>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</si>
  <si>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</si>
  <si>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</si>
  <si>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</si>
  <si>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</si>
  <si>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</si>
  <si>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</si>
  <si>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</si>
  <si>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</si>
  <si>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</si>
  <si>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</si>
  <si>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</si>
  <si>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</si>
  <si>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</si>
  <si>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</si>
  <si>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</si>
  <si>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</si>
  <si>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</si>
  <si>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</si>
  <si>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</si>
  <si>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</si>
  <si>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</si>
  <si>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</si>
  <si>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</si>
  <si>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</si>
  <si>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</si>
  <si>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</si>
  <si>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</si>
  <si>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</si>
  <si>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</si>
  <si>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</si>
  <si>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</si>
  <si>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</si>
  <si>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</si>
  <si>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</si>
  <si>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</si>
  <si>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</si>
  <si>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</si>
  <si>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</si>
  <si>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</si>
  <si>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</si>
  <si>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</si>
  <si>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</si>
  <si>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</si>
  <si>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</si>
  <si>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</si>
  <si>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</si>
  <si>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</si>
  <si>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</si>
  <si>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</si>
  <si>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</si>
  <si>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</si>
  <si>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</si>
  <si>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</si>
  <si>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</si>
  <si>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</si>
  <si>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</si>
  <si>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</si>
  <si>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</si>
  <si>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</si>
  <si>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</si>
  <si>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</si>
  <si>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</si>
  <si>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</si>
  <si>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</si>
  <si>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</si>
  <si>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</si>
  <si>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</si>
  <si>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</si>
  <si>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</si>
  <si>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</si>
  <si>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</si>
  <si>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</si>
  <si>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</si>
  <si>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</si>
  <si>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</si>
  <si>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</si>
  <si>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</si>
  <si>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</si>
  <si>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</si>
  <si>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</si>
  <si>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</si>
  <si>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</si>
  <si>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</si>
  <si>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</si>
  <si>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</si>
  <si>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</si>
  <si>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</si>
  <si>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</si>
  <si>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</si>
  <si>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</si>
  <si>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</si>
  <si>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</si>
  <si>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</si>
  <si>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</si>
  <si>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</si>
  <si>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</si>
  <si>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</si>
  <si>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</si>
  <si>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</si>
  <si>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</si>
  <si>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</si>
  <si>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</si>
  <si>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</si>
  <si>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</si>
  <si>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</si>
  <si>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</si>
  <si>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</si>
  <si>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</si>
  <si>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</si>
  <si>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</si>
  <si>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</si>
  <si>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</si>
  <si>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</si>
  <si>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</si>
  <si>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</si>
  <si>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</si>
  <si>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</si>
  <si>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</si>
  <si>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</si>
  <si>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</si>
  <si>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</si>
  <si>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</si>
  <si>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</si>
  <si>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</si>
  <si>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</si>
  <si>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</si>
  <si>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</si>
  <si>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</si>
  <si>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</si>
  <si>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</si>
  <si>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</si>
  <si>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</si>
  <si>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</si>
  <si>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</si>
  <si>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</si>
  <si>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</si>
  <si>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</si>
  <si>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</si>
  <si>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</si>
  <si>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</si>
  <si>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</si>
  <si>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</si>
  <si>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</si>
  <si>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</si>
  <si>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</si>
  <si>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</si>
  <si>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</si>
  <si>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</si>
  <si>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</si>
  <si>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</si>
  <si>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</si>
  <si>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</si>
  <si>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</si>
  <si>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</si>
  <si>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</si>
  <si>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</si>
  <si>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</si>
  <si>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</si>
  <si>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</si>
  <si>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</si>
  <si>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</si>
  <si>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</si>
  <si>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</si>
  <si>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</si>
  <si>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</si>
  <si>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</si>
  <si>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</si>
  <si>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</si>
  <si>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</si>
  <si>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</si>
  <si>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</si>
  <si>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</si>
  <si>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</si>
  <si>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</si>
  <si>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</si>
  <si>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</si>
  <si>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</si>
  <si>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</si>
  <si>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</si>
  <si>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</si>
  <si>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</si>
  <si>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</si>
  <si>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</si>
  <si>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</si>
  <si>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</si>
  <si>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</si>
  <si>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</si>
  <si>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</si>
  <si>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</si>
  <si>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</si>
  <si>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</si>
  <si>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</si>
  <si>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</si>
  <si>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</si>
  <si>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</si>
  <si>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</si>
  <si>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</si>
  <si>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</si>
  <si>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</si>
  <si>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</si>
  <si>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</si>
  <si>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</si>
  <si>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</si>
  <si>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</si>
  <si>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</si>
  <si>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</si>
  <si>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</si>
  <si>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</si>
  <si>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</si>
  <si>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</si>
  <si>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</si>
  <si>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</si>
  <si>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</si>
  <si>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</si>
  <si>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</si>
  <si>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</si>
  <si>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</si>
  <si>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</si>
  <si>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</si>
  <si>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</si>
  <si>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</si>
  <si>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</si>
  <si>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</si>
  <si>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</si>
  <si>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</si>
  <si>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</si>
  <si>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</si>
  <si>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</si>
  <si>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</si>
  <si>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</si>
  <si>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</si>
  <si>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</si>
  <si>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</si>
  <si>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</si>
  <si>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</si>
  <si>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</si>
  <si>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</si>
  <si>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</si>
  <si>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</si>
  <si>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</si>
  <si>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</si>
  <si>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</si>
  <si>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</si>
  <si>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</si>
  <si>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</si>
  <si>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</si>
  <si>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</si>
  <si>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</si>
  <si>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</si>
  <si>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</si>
  <si>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</si>
  <si>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</si>
  <si>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</si>
  <si>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</si>
  <si>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</si>
  <si>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</si>
  <si>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</si>
  <si>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</si>
  <si>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</si>
  <si>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</si>
  <si>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</si>
  <si>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</si>
  <si>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</si>
  <si>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</si>
  <si>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</si>
  <si>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</si>
  <si>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</si>
  <si>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</si>
  <si>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</si>
  <si>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</si>
  <si>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</si>
  <si>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</si>
  <si>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</si>
  <si>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</si>
  <si>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</si>
  <si>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</si>
  <si>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</si>
  <si>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</si>
  <si>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</si>
  <si>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</si>
  <si>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</si>
  <si>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</si>
  <si>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</si>
  <si>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</si>
  <si>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</si>
  <si>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</si>
  <si>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</si>
  <si>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</si>
  <si>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</si>
  <si>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</si>
  <si>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</si>
  <si>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</si>
  <si>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</si>
  <si>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</si>
  <si>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</si>
  <si>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</si>
  <si>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</si>
  <si>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</si>
  <si>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</si>
  <si>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</si>
  <si>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</si>
  <si>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</si>
  <si>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</si>
  <si>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</si>
  <si>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</si>
  <si>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</si>
  <si>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</si>
  <si>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</si>
  <si>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</si>
  <si>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</si>
  <si>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</si>
  <si>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</si>
  <si>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</si>
  <si>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</si>
  <si>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</si>
  <si>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</si>
  <si>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</si>
  <si>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</si>
  <si>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</si>
  <si>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</si>
  <si>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</si>
  <si>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</si>
  <si>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</si>
  <si>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</si>
  <si>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</si>
  <si>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</si>
  <si>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</si>
  <si>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</si>
  <si>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</si>
  <si>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</si>
  <si>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</si>
  <si>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</si>
  <si>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</si>
  <si>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</si>
  <si>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</si>
  <si>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</si>
  <si>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</si>
  <si>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</si>
  <si>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</si>
  <si>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</si>
  <si>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</si>
  <si>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</si>
  <si>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</si>
  <si>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</si>
  <si>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</si>
  <si>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</si>
  <si>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</si>
  <si>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</si>
  <si>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</si>
  <si>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</si>
  <si>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</si>
  <si>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</si>
  <si>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</si>
  <si>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</si>
  <si>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</si>
  <si>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</si>
  <si>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</si>
  <si>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</si>
  <si>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</si>
  <si>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</si>
  <si>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</si>
  <si>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</si>
  <si>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</si>
  <si>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</si>
  <si>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</si>
  <si>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</si>
  <si>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</si>
  <si>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</si>
  <si>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</si>
  <si>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</si>
  <si>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</si>
  <si>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</si>
  <si>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</si>
  <si>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</si>
  <si>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</si>
  <si>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</si>
  <si>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</si>
  <si>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</si>
  <si>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</si>
  <si>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</si>
  <si>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</si>
  <si>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</si>
  <si>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</si>
  <si>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</si>
  <si>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</si>
  <si>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</si>
  <si>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</si>
  <si>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</si>
  <si>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</si>
  <si>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</si>
  <si>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</si>
  <si>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</si>
  <si>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</si>
  <si>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</si>
  <si>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</si>
  <si>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</si>
  <si>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</si>
  <si>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</si>
  <si>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</si>
  <si>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</si>
  <si>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</si>
  <si>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</si>
  <si>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</si>
  <si>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</si>
  <si>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</si>
  <si>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</si>
  <si>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</si>
  <si>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</si>
  <si>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</si>
  <si>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</si>
  <si>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</si>
  <si>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</si>
  <si>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</si>
  <si>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</si>
  <si>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</si>
  <si>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</si>
  <si>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</si>
  <si>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</si>
  <si>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</si>
  <si>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</si>
  <si>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</si>
  <si>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</si>
  <si>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</si>
  <si>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</si>
  <si>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</si>
  <si>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</si>
  <si>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</si>
  <si>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</si>
  <si>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</si>
  <si>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</si>
  <si>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</si>
  <si>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</si>
  <si>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</si>
  <si>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</si>
  <si>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</si>
  <si>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</si>
  <si>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</si>
  <si>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</si>
  <si>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</si>
  <si>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</si>
  <si>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</si>
  <si>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</si>
  <si>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</si>
  <si>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</si>
  <si>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</si>
  <si>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</si>
  <si>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</si>
  <si>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</si>
  <si>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</si>
  <si>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</si>
  <si>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</si>
  <si>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</si>
  <si>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</si>
  <si>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</si>
  <si>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</si>
  <si>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</si>
  <si>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</si>
  <si>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</si>
  <si>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</si>
  <si>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</si>
  <si>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</si>
  <si>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</si>
  <si>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</si>
  <si>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</si>
  <si>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</si>
  <si>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</si>
  <si>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</si>
  <si>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</si>
  <si>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</si>
  <si>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</si>
  <si>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</si>
  <si>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</si>
  <si>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</si>
  <si>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</si>
  <si>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</si>
  <si>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</si>
  <si>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</si>
  <si>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</si>
  <si>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</si>
  <si>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</si>
  <si>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</si>
  <si>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</si>
  <si>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</si>
  <si>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</si>
  <si>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</si>
  <si>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</si>
  <si>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</si>
  <si>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</si>
  <si>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</si>
  <si>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</si>
  <si>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</si>
  <si>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</si>
  <si>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</si>
  <si>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</si>
  <si>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</si>
  <si>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</si>
  <si>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</si>
  <si>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</si>
  <si>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</si>
  <si>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</si>
  <si>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</si>
  <si>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</si>
  <si>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</si>
  <si>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</si>
  <si>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</si>
  <si>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</si>
  <si>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</si>
  <si>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</si>
  <si>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</si>
  <si>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</si>
  <si>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</si>
  <si>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</si>
  <si>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</si>
  <si>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</si>
  <si>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</si>
  <si>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</si>
  <si>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</si>
  <si>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</si>
  <si>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</si>
  <si>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</si>
  <si>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</si>
  <si>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</si>
  <si>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</si>
  <si>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</si>
  <si>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</si>
  <si>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</si>
  <si>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</si>
  <si>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</si>
  <si>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</si>
  <si>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</si>
  <si>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</si>
  <si>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</si>
  <si>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</si>
  <si>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</si>
  <si>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</si>
  <si>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</si>
  <si>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</si>
  <si>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</si>
  <si>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</si>
  <si>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</si>
  <si>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</si>
  <si>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</si>
  <si>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</si>
  <si>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</si>
  <si>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</si>
  <si>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</si>
  <si>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</si>
  <si>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</si>
  <si>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</si>
  <si>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</si>
  <si>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</si>
  <si>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</si>
  <si>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</si>
  <si>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</si>
  <si>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</si>
  <si>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</si>
  <si>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</si>
  <si>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</si>
  <si>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</si>
  <si>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</si>
  <si>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</si>
  <si>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</si>
  <si>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</si>
  <si>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</si>
  <si>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</si>
  <si>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</si>
  <si>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</si>
  <si>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</si>
  <si>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</si>
  <si>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</si>
  <si>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</si>
  <si>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</si>
  <si>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</si>
  <si>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</si>
  <si>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</si>
  <si>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</si>
  <si>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</si>
  <si>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</si>
  <si>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</si>
  <si>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</si>
  <si>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</si>
  <si>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</si>
  <si>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</si>
  <si>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</si>
  <si>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</si>
  <si>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</si>
  <si>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</si>
  <si>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</si>
  <si>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</si>
  <si>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</si>
  <si>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</si>
  <si>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</si>
  <si>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</si>
  <si>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</si>
  <si>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</si>
  <si>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</si>
  <si>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</si>
  <si>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</si>
  <si>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</si>
  <si>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</si>
  <si>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</si>
  <si>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</si>
  <si>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</si>
  <si>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</si>
  <si>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</si>
  <si>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</si>
  <si>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</si>
  <si>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</si>
  <si>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</si>
  <si>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</si>
  <si>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</si>
  <si>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</si>
  <si>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</si>
  <si>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</si>
  <si>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</si>
  <si>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</si>
  <si>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</si>
  <si>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</si>
  <si>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</si>
  <si>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</si>
  <si>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</si>
  <si>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</si>
  <si>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</si>
  <si>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</si>
  <si>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</si>
  <si>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</si>
  <si>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</si>
  <si>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</si>
  <si>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</si>
  <si>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</si>
  <si>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</si>
  <si>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</si>
  <si>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</si>
  <si>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</si>
  <si>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</si>
  <si>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</si>
  <si>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</si>
  <si>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</si>
  <si>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</si>
  <si>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</si>
  <si>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</si>
  <si>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</si>
  <si>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</si>
  <si>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</si>
  <si>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</si>
  <si>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</si>
  <si>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</si>
  <si>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</si>
  <si>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</si>
  <si>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</si>
  <si>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</si>
  <si>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</si>
  <si>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</si>
  <si>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</si>
  <si>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</si>
  <si>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</si>
  <si>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</si>
  <si>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</si>
  <si>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</si>
  <si>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</si>
  <si>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</si>
  <si>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</si>
  <si>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</si>
  <si>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</si>
  <si>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</si>
  <si>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</si>
  <si>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</si>
  <si>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</si>
  <si>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</si>
  <si>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</si>
  <si>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</si>
  <si>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</si>
  <si>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</si>
  <si>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</si>
  <si>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</si>
  <si>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</si>
  <si>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</si>
  <si>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</si>
  <si>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</si>
  <si>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</si>
  <si>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</si>
  <si>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</si>
  <si>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</si>
  <si>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</si>
  <si>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</si>
  <si>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</si>
  <si>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</si>
  <si>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</si>
  <si>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</si>
  <si>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</si>
  <si>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</si>
  <si>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</si>
  <si>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</si>
  <si>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</si>
  <si>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</si>
  <si>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</si>
  <si>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</si>
  <si>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</si>
  <si>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</si>
  <si>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</si>
  <si>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</si>
  <si>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</si>
  <si>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</si>
  <si>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</si>
  <si>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</si>
  <si>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</si>
  <si>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</si>
  <si>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</si>
  <si>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</si>
  <si>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</si>
  <si>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</si>
  <si>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</si>
  <si>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</si>
  <si>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</si>
  <si>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</si>
  <si>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</si>
  <si>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</si>
  <si>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</si>
  <si>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</si>
  <si>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</si>
  <si>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</si>
  <si>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</si>
  <si>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</si>
  <si>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</si>
  <si>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</si>
  <si>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</si>
  <si>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</si>
  <si>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</si>
  <si>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</si>
  <si>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</si>
  <si>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</si>
  <si>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</si>
  <si>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</si>
  <si>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</si>
  <si>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</si>
  <si>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</si>
  <si>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</si>
  <si>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</si>
  <si>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</si>
  <si>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</si>
  <si>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</si>
  <si>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</si>
  <si>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</si>
  <si>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</si>
  <si>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</si>
  <si>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</si>
  <si>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</si>
  <si>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</si>
  <si>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</si>
  <si>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</si>
  <si>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</si>
  <si>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</si>
  <si>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</si>
  <si>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</si>
  <si>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</si>
  <si>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</si>
  <si>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</si>
  <si>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</si>
  <si>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</si>
  <si>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</si>
  <si>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</si>
  <si>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</si>
  <si>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</si>
  <si>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</si>
  <si>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</si>
  <si>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</si>
  <si>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</si>
  <si>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</si>
  <si>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</si>
  <si>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</si>
  <si>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</si>
  <si>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</si>
  <si>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</si>
  <si>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</si>
  <si>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</si>
  <si>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</si>
  <si>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</si>
  <si>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</si>
  <si>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</si>
  <si>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</si>
  <si>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</si>
  <si>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</si>
  <si>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</si>
  <si>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</si>
  <si>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</si>
  <si>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</si>
  <si>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</si>
  <si>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</si>
  <si>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</si>
  <si>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</si>
  <si>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</si>
  <si>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</si>
  <si>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</si>
  <si>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</si>
  <si>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</si>
  <si>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</si>
  <si>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</si>
  <si>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</si>
  <si>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</si>
  <si>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</si>
  <si>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</si>
  <si>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</si>
  <si>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</si>
  <si>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</si>
  <si>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</si>
  <si>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</si>
  <si>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</si>
  <si>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</si>
  <si>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</si>
  <si>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</si>
  <si>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</si>
  <si>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</si>
  <si>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</si>
  <si>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</si>
  <si>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</si>
  <si>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</si>
  <si>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</si>
  <si>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</si>
  <si>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</si>
  <si>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</si>
  <si>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</si>
  <si>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</si>
  <si>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</si>
  <si>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</si>
  <si>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</si>
  <si>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</si>
  <si>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</si>
  <si>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</si>
  <si>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</si>
  <si>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</si>
  <si>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</si>
  <si>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</si>
  <si>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</si>
  <si>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</si>
  <si>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</si>
  <si>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</si>
  <si>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</si>
  <si>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</si>
  <si>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</si>
  <si>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</si>
  <si>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</si>
  <si>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</si>
  <si>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</si>
  <si>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</si>
  <si>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</si>
  <si>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</si>
  <si>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</si>
  <si>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</si>
  <si>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</si>
  <si>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</si>
  <si>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</si>
  <si>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</si>
  <si>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</si>
  <si>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</si>
  <si>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</si>
  <si>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</si>
  <si>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</si>
  <si>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</si>
  <si>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</si>
  <si>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</si>
  <si>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</si>
  <si>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</si>
  <si>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</si>
  <si>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</si>
  <si>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</si>
  <si>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</si>
  <si>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</si>
  <si>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</si>
  <si>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</si>
  <si>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</si>
  <si>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</si>
  <si>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</si>
  <si>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</si>
  <si>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</si>
  <si>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</si>
  <si>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</si>
  <si>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</si>
  <si>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</si>
  <si>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</si>
  <si>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</si>
  <si>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</si>
  <si>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</si>
  <si>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</si>
  <si>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</si>
  <si>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</si>
  <si>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</si>
  <si>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</si>
  <si>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</si>
  <si>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</si>
  <si>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</si>
  <si>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</si>
  <si>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</si>
  <si>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</si>
  <si>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</si>
  <si>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</si>
  <si>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</si>
  <si>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</si>
  <si>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</si>
  <si>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</si>
  <si>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</si>
  <si>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</si>
  <si>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</si>
  <si>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</si>
  <si>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</si>
  <si>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</si>
  <si>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</si>
  <si>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</si>
  <si>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</si>
  <si>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</si>
  <si>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</si>
  <si>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</si>
  <si>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</si>
  <si>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</si>
  <si>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</si>
  <si>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</si>
  <si>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</si>
  <si>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</si>
  <si>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</si>
  <si>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</si>
  <si>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</si>
  <si>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</si>
  <si>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</si>
  <si>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</si>
  <si>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</si>
  <si>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</si>
  <si>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</si>
  <si>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</si>
  <si>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</si>
  <si>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</si>
  <si>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</si>
  <si>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</si>
  <si>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</si>
  <si>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</si>
  <si>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</si>
  <si>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</si>
  <si>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</si>
  <si>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</si>
  <si>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</si>
  <si>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</si>
  <si>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</si>
  <si>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</si>
  <si>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</si>
  <si>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</si>
  <si>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</si>
  <si>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</si>
  <si>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</si>
  <si>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</si>
  <si>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</si>
  <si>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</si>
  <si>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</si>
  <si>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</si>
  <si>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</si>
  <si>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</si>
  <si>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</si>
  <si>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</si>
  <si>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</si>
  <si>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</si>
  <si>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</si>
  <si>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</si>
  <si>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</si>
  <si>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</si>
  <si>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</si>
  <si>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</si>
  <si>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</si>
  <si>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</si>
  <si>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</si>
  <si>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</si>
  <si>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</si>
  <si>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</si>
  <si>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</si>
  <si>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</si>
  <si>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</si>
  <si>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</si>
  <si>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</si>
  <si>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</si>
  <si>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</si>
  <si>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</si>
  <si>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</si>
  <si>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</si>
  <si>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</si>
  <si>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</si>
  <si>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</si>
  <si>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</si>
  <si>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</si>
  <si>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</si>
  <si>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</si>
  <si>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</si>
  <si>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</si>
  <si>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</si>
  <si>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</si>
  <si>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</si>
  <si>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</si>
  <si>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</si>
  <si>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</si>
  <si>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</si>
  <si>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</si>
  <si>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</si>
  <si>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</si>
  <si>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</si>
  <si>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</si>
  <si>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</si>
  <si>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</si>
  <si>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</si>
  <si>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</si>
  <si>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</si>
  <si>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</si>
  <si>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</si>
  <si>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</si>
  <si>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</si>
  <si>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</si>
  <si>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</si>
  <si>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</si>
  <si>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</si>
  <si>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</si>
  <si>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</si>
  <si>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</si>
  <si>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</si>
  <si>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</si>
  <si>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</si>
  <si>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</si>
  <si>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</si>
  <si>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</si>
  <si>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</si>
  <si>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</si>
  <si>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</si>
  <si>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</si>
  <si>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</si>
  <si>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</si>
  <si>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</si>
  <si>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</si>
  <si>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</si>
  <si>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</si>
  <si>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</si>
  <si>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</si>
  <si>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</si>
  <si>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</si>
  <si>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</si>
  <si>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</si>
  <si>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</si>
  <si>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</si>
  <si>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</si>
  <si>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</si>
  <si>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</si>
  <si>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</si>
  <si>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</si>
  <si>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</si>
  <si>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</si>
  <si>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</si>
  <si>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</si>
  <si>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</si>
  <si>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</si>
  <si>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</si>
  <si>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</si>
  <si>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</si>
  <si>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</si>
  <si>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</si>
  <si>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</si>
  <si>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</si>
  <si>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</si>
  <si>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</si>
  <si>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</si>
  <si>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</si>
  <si>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</si>
  <si>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</si>
  <si>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</si>
  <si>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</si>
  <si>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</si>
  <si>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</si>
  <si>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</si>
  <si>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</si>
  <si>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</si>
  <si>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</si>
  <si>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</si>
  <si>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</si>
  <si>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</si>
  <si>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</si>
  <si>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</si>
  <si>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</si>
  <si>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</si>
  <si>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</si>
  <si>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</si>
  <si>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</si>
  <si>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</si>
  <si>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</si>
  <si>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</si>
  <si>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</si>
  <si>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</si>
  <si>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</si>
  <si>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</si>
  <si>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</si>
  <si>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</si>
  <si>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</si>
  <si>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</si>
  <si>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</si>
  <si>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</si>
  <si>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</si>
  <si>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</si>
  <si>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</si>
  <si>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</si>
  <si>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</si>
  <si>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</si>
  <si>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</si>
  <si>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</si>
  <si>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</si>
  <si>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</si>
  <si>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</si>
  <si>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</si>
  <si>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</si>
  <si>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</si>
  <si>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</si>
  <si>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</si>
  <si>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</si>
  <si>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</si>
  <si>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</si>
  <si>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</si>
  <si>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</si>
  <si>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</si>
  <si>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</si>
  <si>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</si>
  <si>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</si>
  <si>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</si>
  <si>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</si>
  <si>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</si>
  <si>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</si>
  <si>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</si>
  <si>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</si>
  <si>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</si>
  <si>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</si>
  <si>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</si>
  <si>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</si>
  <si>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</si>
  <si>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</si>
  <si>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</si>
  <si>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</si>
  <si>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</si>
  <si>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</si>
  <si>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</si>
  <si>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</si>
  <si>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</si>
  <si>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</si>
  <si>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</si>
  <si>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</si>
  <si>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</si>
  <si>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</si>
  <si>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</si>
  <si>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</si>
  <si>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</si>
  <si>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</si>
  <si>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</si>
  <si>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</si>
  <si>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</si>
  <si>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</si>
  <si>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</si>
  <si>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</si>
  <si>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</si>
  <si>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</si>
  <si>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</si>
  <si>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</si>
  <si>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</si>
  <si>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</si>
  <si>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</si>
  <si>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</si>
  <si>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</si>
  <si>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</si>
  <si>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</si>
  <si>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</si>
  <si>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</si>
  <si>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</si>
  <si>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</si>
  <si>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</si>
  <si>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</si>
  <si>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</si>
  <si>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</si>
  <si>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</si>
  <si>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</si>
  <si>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</si>
  <si>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</si>
  <si>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</si>
  <si>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</si>
  <si>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</si>
  <si>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</si>
  <si>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</si>
  <si>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</si>
  <si>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</si>
  <si>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</si>
  <si>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</si>
  <si>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</si>
  <si>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</si>
  <si>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</si>
  <si>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</si>
  <si>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</si>
  <si>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</si>
  <si>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</si>
  <si>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</si>
  <si>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</si>
  <si>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</si>
  <si>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</si>
  <si>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</si>
  <si>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</si>
  <si>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</si>
  <si>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</si>
  <si>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</si>
  <si>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</si>
  <si>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</si>
  <si>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</si>
  <si>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</si>
  <si>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</si>
  <si>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</si>
  <si>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</si>
  <si>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</si>
  <si>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</si>
  <si>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</si>
  <si>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</si>
  <si>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</si>
  <si>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</si>
  <si>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</si>
  <si>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</si>
  <si>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</si>
  <si>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</si>
  <si>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</si>
  <si>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</si>
  <si>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</si>
  <si>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</si>
  <si>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</si>
  <si>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</si>
  <si>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</si>
  <si>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</si>
  <si>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</si>
  <si>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</si>
  <si>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</si>
  <si>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</si>
  <si>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</si>
  <si>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</si>
  <si>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</si>
  <si>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</si>
  <si>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</si>
  <si>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</si>
  <si>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</si>
  <si>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</si>
  <si>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</si>
  <si>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</si>
  <si>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</si>
  <si>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</si>
  <si>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</si>
  <si>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</si>
  <si>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</si>
  <si>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</si>
  <si>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</si>
  <si>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</si>
  <si>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</si>
  <si>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</si>
  <si>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</si>
  <si>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</si>
  <si>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</si>
  <si>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</si>
  <si>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</si>
  <si>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</si>
  <si>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</si>
  <si>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</si>
  <si>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</si>
  <si>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</si>
  <si>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</si>
  <si>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</si>
  <si>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</si>
  <si>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</si>
  <si>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</si>
  <si>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</si>
  <si>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</si>
  <si>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</si>
  <si>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</si>
  <si>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</si>
  <si>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</si>
  <si>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</si>
  <si>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</si>
  <si>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</si>
  <si>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</si>
  <si>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</si>
  <si>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</si>
  <si>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</si>
  <si>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</si>
  <si>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</si>
  <si>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</si>
  <si>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</si>
  <si>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</si>
  <si>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</si>
  <si>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</si>
  <si>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</si>
  <si>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</si>
  <si>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</si>
  <si>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</si>
  <si>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</si>
  <si>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</si>
  <si>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</si>
  <si>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</si>
  <si>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</si>
  <si>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</si>
  <si>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</si>
  <si>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</si>
  <si>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</si>
  <si>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</si>
  <si>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</si>
  <si>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</si>
  <si>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</si>
  <si>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</si>
  <si>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</si>
  <si>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</si>
  <si>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</si>
  <si>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</si>
  <si>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</si>
  <si>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</si>
  <si>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</si>
  <si>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</si>
  <si>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</si>
  <si>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</si>
  <si>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</si>
  <si>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</si>
  <si>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</si>
  <si>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</si>
  <si>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</si>
  <si>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</si>
  <si>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</si>
  <si>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</si>
  <si>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</si>
  <si>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</si>
  <si>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</si>
  <si>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</si>
  <si>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</si>
  <si>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</si>
  <si>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</si>
  <si>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</si>
  <si>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</si>
  <si>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</si>
  <si>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</si>
  <si>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</si>
  <si>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</si>
  <si>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</si>
  <si>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</si>
  <si>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</si>
  <si>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</si>
  <si>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</si>
  <si>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</si>
  <si>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</si>
  <si>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</si>
  <si>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</si>
  <si>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</si>
  <si>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</si>
  <si>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</si>
  <si>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</si>
  <si>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</si>
  <si>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</si>
  <si>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</si>
  <si>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</si>
  <si>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</si>
  <si>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</si>
  <si>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</si>
  <si>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</si>
  <si>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</si>
  <si>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</si>
  <si>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</si>
  <si>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</si>
  <si>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</si>
  <si>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</si>
  <si>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</si>
  <si>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</si>
  <si>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</si>
  <si>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</si>
  <si>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</si>
  <si>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</si>
  <si>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</si>
  <si>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</si>
  <si>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</si>
  <si>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</si>
  <si>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</si>
  <si>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</si>
  <si>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</si>
  <si>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</si>
  <si>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</si>
  <si>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</si>
  <si>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</si>
  <si>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</si>
  <si>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</si>
  <si>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</si>
  <si>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</si>
  <si>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</si>
  <si>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</si>
  <si>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</si>
  <si>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</si>
  <si>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</si>
  <si>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</si>
  <si>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</si>
  <si>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</si>
  <si>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</si>
  <si>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</si>
  <si>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</si>
  <si>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</si>
  <si>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</si>
  <si>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</si>
  <si>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</si>
  <si>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</si>
  <si>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</si>
  <si>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</si>
  <si>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</si>
  <si>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</si>
  <si>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</si>
  <si>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</si>
  <si>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</si>
  <si>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</si>
  <si>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</si>
  <si>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</si>
  <si>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</si>
  <si>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</si>
  <si>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</si>
  <si>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</si>
  <si>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</si>
  <si>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</si>
  <si>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</si>
  <si>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</si>
  <si>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</si>
  <si>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</si>
  <si>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</si>
  <si>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</si>
  <si>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</si>
  <si>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</si>
  <si>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</si>
  <si>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</si>
  <si>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</si>
  <si>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</si>
  <si>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</si>
  <si>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</si>
  <si>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</si>
  <si>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</si>
  <si>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</si>
  <si>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</si>
  <si>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</si>
  <si>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</si>
  <si>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</si>
  <si>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</si>
  <si>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</si>
  <si>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</si>
  <si>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</si>
  <si>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</si>
  <si>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</si>
  <si>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</si>
  <si>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</si>
  <si>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</si>
  <si>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</si>
  <si>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</si>
  <si>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</si>
  <si>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</si>
  <si>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</si>
  <si>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</si>
  <si>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</si>
  <si>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</si>
  <si>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</si>
  <si>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</si>
  <si>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</si>
  <si>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</si>
  <si>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</si>
  <si>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</si>
  <si>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</si>
  <si>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</si>
  <si>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</si>
  <si>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</si>
  <si>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</si>
  <si>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</si>
  <si>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</si>
  <si>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</si>
  <si>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</si>
  <si>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</si>
  <si>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</si>
  <si>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</si>
  <si>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</si>
  <si>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</si>
  <si>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</si>
  <si>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</si>
  <si>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</si>
  <si>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</si>
  <si>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</si>
  <si>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</si>
  <si>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</si>
  <si>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</si>
  <si>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</si>
  <si>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</si>
  <si>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</si>
  <si>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</si>
  <si>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</si>
  <si>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</si>
  <si>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</si>
  <si>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</si>
  <si>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</si>
  <si>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</si>
  <si>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</si>
  <si>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</si>
  <si>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</si>
  <si>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</si>
  <si>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</si>
  <si>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</si>
  <si>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</si>
  <si>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</si>
  <si>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</si>
  <si>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</si>
  <si>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</si>
  <si>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</si>
  <si>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</si>
  <si>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</si>
  <si>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</si>
  <si>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</si>
  <si>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</si>
  <si>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</si>
  <si>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</si>
  <si>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</si>
  <si>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</si>
  <si>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</si>
  <si>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</si>
  <si>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</si>
  <si>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</si>
  <si>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</si>
  <si>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</si>
  <si>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</si>
  <si>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</si>
  <si>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</si>
  <si>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</si>
  <si>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</si>
  <si>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</si>
  <si>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</si>
  <si>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</si>
  <si>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</si>
  <si>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</si>
  <si>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</si>
  <si>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</si>
  <si>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</si>
  <si>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</si>
  <si>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</si>
  <si>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</si>
  <si>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</si>
  <si>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</si>
  <si>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</si>
  <si>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</si>
  <si>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</si>
  <si>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</si>
  <si>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</si>
  <si>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</si>
  <si>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</si>
  <si>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</si>
  <si>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</si>
  <si>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</si>
  <si>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</si>
  <si>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</si>
  <si>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</si>
  <si>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</si>
  <si>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</si>
  <si>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</si>
  <si>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</si>
  <si>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</si>
  <si>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</si>
  <si>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</si>
  <si>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</si>
  <si>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</si>
  <si>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</si>
  <si>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</si>
  <si>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</si>
  <si>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</si>
  <si>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</si>
  <si>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</si>
  <si>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</si>
  <si>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</si>
  <si>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</si>
  <si>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</si>
  <si>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</si>
  <si>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</si>
  <si>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</si>
  <si>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</si>
  <si>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</si>
  <si>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</si>
  <si>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</si>
  <si>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</si>
  <si>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</si>
  <si>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</si>
  <si>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</si>
  <si>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</si>
  <si>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</si>
  <si>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</si>
  <si>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</si>
  <si>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</si>
  <si>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</si>
  <si>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</si>
  <si>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</si>
  <si>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</si>
  <si>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</si>
  <si>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</si>
  <si>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</si>
  <si>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</si>
  <si>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</si>
  <si>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</si>
  <si>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</si>
  <si>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</si>
  <si>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</si>
  <si>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</si>
  <si>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</si>
  <si>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</si>
  <si>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</si>
  <si>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</si>
  <si>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</si>
  <si>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</si>
  <si>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</si>
  <si>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</si>
  <si>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</si>
  <si>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</si>
  <si>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</si>
  <si>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</si>
  <si>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</si>
  <si>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</si>
  <si>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</si>
  <si>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</si>
  <si>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</si>
  <si>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</si>
  <si>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</si>
  <si>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</si>
  <si>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</si>
  <si>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</si>
  <si>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</si>
  <si>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</si>
  <si>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</si>
  <si>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</si>
  <si>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</si>
  <si>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</si>
  <si>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</si>
  <si>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</si>
  <si>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</si>
  <si>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</si>
  <si>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</si>
  <si>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</si>
  <si>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</si>
  <si>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</si>
  <si>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</si>
  <si>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</si>
  <si>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</si>
  <si>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</si>
  <si>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</si>
  <si>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</si>
  <si>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</si>
  <si>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</si>
  <si>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</si>
  <si>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</si>
  <si>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</si>
  <si>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</si>
  <si>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</si>
  <si>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</si>
  <si>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</si>
  <si>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</si>
  <si>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</si>
  <si>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</si>
  <si>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</si>
  <si>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</si>
  <si>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</si>
  <si>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</si>
  <si>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</si>
  <si>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</si>
  <si>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</si>
  <si>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</si>
  <si>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</si>
  <si>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</si>
  <si>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</si>
  <si>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</si>
  <si>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</si>
  <si>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</si>
  <si>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</si>
  <si>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</si>
  <si>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</si>
  <si>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</si>
  <si>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</si>
  <si>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</si>
  <si>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</si>
  <si>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</si>
  <si>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</si>
  <si>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</si>
  <si>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</si>
  <si>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</si>
  <si>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</si>
  <si>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</si>
  <si>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</si>
  <si>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</si>
  <si>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</si>
  <si>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</si>
  <si>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</si>
  <si>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</si>
  <si>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</si>
  <si>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</si>
  <si>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</si>
  <si>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</si>
  <si>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</si>
  <si>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</si>
  <si>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</si>
  <si>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</si>
  <si>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</si>
  <si>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</si>
  <si>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</si>
  <si>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</si>
  <si>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</si>
  <si>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</si>
  <si>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</si>
  <si>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</si>
  <si>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</si>
  <si>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</si>
  <si>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</si>
  <si>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</si>
  <si>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</si>
  <si>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</si>
  <si>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</si>
  <si>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</si>
  <si>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</si>
  <si>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</si>
  <si>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</si>
  <si>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</si>
  <si>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</si>
  <si>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</si>
  <si>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</si>
  <si>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</si>
  <si>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</si>
  <si>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</si>
  <si>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</si>
  <si>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</si>
  <si>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</si>
  <si>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</si>
  <si>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</si>
  <si>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</si>
  <si>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</si>
  <si>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</si>
  <si>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</si>
  <si>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</si>
  <si>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</si>
  <si>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</si>
  <si>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</si>
  <si>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</si>
  <si>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</si>
  <si>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</si>
  <si>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</si>
  <si>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</si>
  <si>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</si>
  <si>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</si>
  <si>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</si>
  <si>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</si>
  <si>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</si>
  <si>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</si>
  <si>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</si>
  <si>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</si>
  <si>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</si>
  <si>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</si>
  <si>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</si>
  <si>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</si>
  <si>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</si>
  <si>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</si>
  <si>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</si>
  <si>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</si>
  <si>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</si>
  <si>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</si>
  <si>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</si>
  <si>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</si>
  <si>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</si>
  <si>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</si>
  <si>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</si>
  <si>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</si>
  <si>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</si>
  <si>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</si>
  <si>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</si>
  <si>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</si>
  <si>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</si>
  <si>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</si>
  <si>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</si>
  <si>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</si>
  <si>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</si>
  <si>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</si>
  <si>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</si>
  <si>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</si>
  <si>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</si>
  <si>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</si>
  <si>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</si>
  <si>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</si>
  <si>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</si>
  <si>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</si>
  <si>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</si>
  <si>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</si>
  <si>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</si>
  <si>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</si>
  <si>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</si>
  <si>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</si>
  <si>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</si>
  <si>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</si>
  <si>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</si>
  <si>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</si>
  <si>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</si>
  <si>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</si>
  <si>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</si>
  <si>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</si>
  <si>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</si>
  <si>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</si>
  <si>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</si>
  <si>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</si>
  <si>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</si>
  <si>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</si>
  <si>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</si>
  <si>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</si>
  <si>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</si>
  <si>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</si>
  <si>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</si>
  <si>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</si>
  <si>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</si>
  <si>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</si>
  <si>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</si>
  <si>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</si>
  <si>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</si>
  <si>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</si>
  <si>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</si>
  <si>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</si>
  <si>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</si>
  <si>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</si>
  <si>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</si>
  <si>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</si>
  <si>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</si>
  <si>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</si>
  <si>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</si>
  <si>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</si>
  <si>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</si>
  <si>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</si>
  <si>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</si>
  <si>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</si>
  <si>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</si>
  <si>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</si>
  <si>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</si>
  <si>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</si>
  <si>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</si>
  <si>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</si>
  <si>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</si>
  <si>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</si>
  <si>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</si>
  <si>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</si>
  <si>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</si>
  <si>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</si>
  <si>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</si>
  <si>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</si>
  <si>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</si>
  <si>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</si>
  <si>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</si>
  <si>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</si>
  <si>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</si>
  <si>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</si>
  <si>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</si>
  <si>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</si>
  <si>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</si>
  <si>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</si>
  <si>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</si>
  <si>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</si>
  <si>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</si>
  <si>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</si>
  <si>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</si>
  <si>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</si>
  <si>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</si>
  <si>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</si>
  <si>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</si>
  <si>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</si>
  <si>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</si>
  <si>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</si>
  <si>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</si>
  <si>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</si>
  <si>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</si>
  <si>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</si>
  <si>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</si>
  <si>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</si>
  <si>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</si>
  <si>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</si>
  <si>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</si>
  <si>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</si>
  <si>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</si>
  <si>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</si>
  <si>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</si>
  <si>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</si>
  <si>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</si>
  <si>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</si>
  <si>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</si>
  <si>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</si>
  <si>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</si>
  <si>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</si>
  <si>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</si>
  <si>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</si>
  <si>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</si>
  <si>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</si>
  <si>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</si>
  <si>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</si>
  <si>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</si>
  <si>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</si>
  <si>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</si>
  <si>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</si>
  <si>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</si>
  <si>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</si>
  <si>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</si>
  <si>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</si>
  <si>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</si>
  <si>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</si>
  <si>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</si>
  <si>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</si>
  <si>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</si>
  <si>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</si>
  <si>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</si>
  <si>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</si>
  <si>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</si>
  <si>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</si>
  <si>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</si>
  <si>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</si>
  <si>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</si>
  <si>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</si>
  <si>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</si>
  <si>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</si>
  <si>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</si>
  <si>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</si>
  <si>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</si>
  <si>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</si>
  <si>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</si>
  <si>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</si>
  <si>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</si>
  <si>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</si>
  <si>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</si>
  <si>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</si>
  <si>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</si>
  <si>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</si>
  <si>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</si>
  <si>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</si>
  <si>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</si>
  <si>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</si>
  <si>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</si>
  <si>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</si>
  <si>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</si>
  <si>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</si>
  <si>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</si>
  <si>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</si>
  <si>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</si>
  <si>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</si>
  <si>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</si>
  <si>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</si>
  <si>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</si>
  <si>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</si>
  <si>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</si>
  <si>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</si>
  <si>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</si>
  <si>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</si>
  <si>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</si>
  <si>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</si>
  <si>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</si>
  <si>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</si>
  <si>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</si>
  <si>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</si>
  <si>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</si>
  <si>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</si>
  <si>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</si>
  <si>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</si>
  <si>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</si>
  <si>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</si>
  <si>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</si>
  <si>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</si>
  <si>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</si>
  <si>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</si>
  <si>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</si>
  <si>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</si>
  <si>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</si>
  <si>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</si>
  <si>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</si>
  <si>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</si>
  <si>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</si>
  <si>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</si>
  <si>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</si>
  <si>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</si>
  <si>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</si>
  <si>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</si>
  <si>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</si>
  <si>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</si>
  <si>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</si>
  <si>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</si>
  <si>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</si>
  <si>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</si>
  <si>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</si>
  <si>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</si>
  <si>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</si>
  <si>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</si>
  <si>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</si>
  <si>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</si>
  <si>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</si>
  <si>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</si>
  <si>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</si>
  <si>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</si>
  <si>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</si>
  <si>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</si>
  <si>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</si>
  <si>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</si>
  <si>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</si>
  <si>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</si>
  <si>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</si>
  <si>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</si>
  <si>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</si>
  <si>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</si>
  <si>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</si>
  <si>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</si>
  <si>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</si>
  <si>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</si>
  <si>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</si>
  <si>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</si>
  <si>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</si>
  <si>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</si>
  <si>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</si>
  <si>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</si>
  <si>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</si>
  <si>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</si>
  <si>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</si>
  <si>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</si>
  <si>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</si>
  <si>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</si>
  <si>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</si>
  <si>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</si>
  <si>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</si>
  <si>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</si>
  <si>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</si>
  <si>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</si>
  <si>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</si>
  <si>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</si>
  <si>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</si>
  <si>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</si>
  <si>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</si>
  <si>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</si>
  <si>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</si>
  <si>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</si>
  <si>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</si>
  <si>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</si>
  <si>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</si>
  <si>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</si>
  <si>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</si>
  <si>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</si>
  <si>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</si>
  <si>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</si>
  <si>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</si>
  <si>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</si>
  <si>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</si>
  <si>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</si>
  <si>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</si>
  <si>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</si>
  <si>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</si>
  <si>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</si>
  <si>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</si>
  <si>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</si>
  <si>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</si>
  <si>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</si>
  <si>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</si>
  <si>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</si>
  <si>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</si>
  <si>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</si>
  <si>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</si>
  <si>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</si>
  <si>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</si>
  <si>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</si>
  <si>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</si>
  <si>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</si>
  <si>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</si>
  <si>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</si>
  <si>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</si>
  <si>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</si>
  <si>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</si>
  <si>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</si>
  <si>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</si>
  <si>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</si>
  <si>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</si>
  <si>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</si>
  <si>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</si>
  <si>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</si>
  <si>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</si>
  <si>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</si>
  <si>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</si>
  <si>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</si>
  <si>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</si>
  <si>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</si>
  <si>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</si>
  <si>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</si>
  <si>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</si>
  <si>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</si>
  <si>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</si>
  <si>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</si>
  <si>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</si>
  <si>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</si>
  <si>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</si>
  <si>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</si>
  <si>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</si>
  <si>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</si>
  <si>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</si>
  <si>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</si>
  <si>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</si>
  <si>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</si>
  <si>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</si>
  <si>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</si>
  <si>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</si>
  <si>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</si>
  <si>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</si>
  <si>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</si>
  <si>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</si>
  <si>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</si>
  <si>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</si>
  <si>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</si>
  <si>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</si>
  <si>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</si>
  <si>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</si>
  <si>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</si>
  <si>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</si>
  <si>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</si>
  <si>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</si>
  <si>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</si>
  <si>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</si>
  <si>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</si>
  <si>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</si>
  <si>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</si>
  <si>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</si>
  <si>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</si>
  <si>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</si>
  <si>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</si>
  <si>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</si>
  <si>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</si>
  <si>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</si>
  <si>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</si>
  <si>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</si>
  <si>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</si>
  <si>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</si>
  <si>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</si>
  <si>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</si>
  <si>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</si>
  <si>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</si>
  <si>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</si>
  <si>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</si>
  <si>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</si>
  <si>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</si>
  <si>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</si>
  <si>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</si>
  <si>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</si>
  <si>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</si>
  <si>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</si>
  <si>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</si>
  <si>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</si>
  <si>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</si>
  <si>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</si>
  <si>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</si>
  <si>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</si>
  <si>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</si>
  <si>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</si>
  <si>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</si>
  <si>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</si>
  <si>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</si>
  <si>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</si>
  <si>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</si>
  <si>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</si>
  <si>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</si>
  <si>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</si>
  <si>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</si>
  <si>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</si>
  <si>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</si>
  <si>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</si>
  <si>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</si>
  <si>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</si>
  <si>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</si>
  <si>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</si>
  <si>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</si>
  <si>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</si>
  <si>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</si>
  <si>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</si>
  <si>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</si>
  <si>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</si>
  <si>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</si>
  <si>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</si>
  <si>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</si>
  <si>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</si>
  <si>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</si>
  <si>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</si>
  <si>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</si>
  <si>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</si>
  <si>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</si>
  <si>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</si>
  <si>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</si>
  <si>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</si>
  <si>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</si>
  <si>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</si>
  <si>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</si>
  <si>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</si>
  <si>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</si>
  <si>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</si>
  <si>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</si>
  <si>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</si>
  <si>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</si>
  <si>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</si>
  <si>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</si>
  <si>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</si>
  <si>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</si>
  <si>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</si>
  <si>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</si>
  <si>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</si>
  <si>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</si>
  <si>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</si>
  <si>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</si>
  <si>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</si>
  <si>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</si>
  <si>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</si>
  <si>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</si>
  <si>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</si>
  <si>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</si>
  <si>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</si>
  <si>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</si>
  <si>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</si>
  <si>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</si>
  <si>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</si>
  <si>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</si>
  <si>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</si>
  <si>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</si>
  <si>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</si>
  <si>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</si>
  <si>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</si>
  <si>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</si>
  <si>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</si>
  <si>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</si>
  <si>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</si>
  <si>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</si>
  <si>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</si>
  <si>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</si>
  <si>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</si>
  <si>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</si>
  <si>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</si>
  <si>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</si>
  <si>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</si>
  <si>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</si>
  <si>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</si>
  <si>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</si>
  <si>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</si>
  <si>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</si>
  <si>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</si>
  <si>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</si>
  <si>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</si>
  <si>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</si>
  <si>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</si>
  <si>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</si>
  <si>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</si>
  <si>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</si>
  <si>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</si>
  <si>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</si>
  <si>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</si>
  <si>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</si>
  <si>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</si>
  <si>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</si>
  <si>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</si>
  <si>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</si>
  <si>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</si>
  <si>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</si>
  <si>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</si>
  <si>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</si>
  <si>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</si>
  <si>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</si>
  <si>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</si>
  <si>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</si>
  <si>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</si>
  <si>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</si>
  <si>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</si>
  <si>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</si>
  <si>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</si>
  <si>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</si>
  <si>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</si>
  <si>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</si>
  <si>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</si>
  <si>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</si>
  <si>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</si>
  <si>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</si>
  <si>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</si>
  <si>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</si>
  <si>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</si>
  <si>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</si>
  <si>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</si>
  <si>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</si>
  <si>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</si>
  <si>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</si>
  <si>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</si>
  <si>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</si>
  <si>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</si>
  <si>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</si>
  <si>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</si>
  <si>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</si>
  <si>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</si>
  <si>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</si>
  <si>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</si>
  <si>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</si>
  <si>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</si>
  <si>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</si>
  <si>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</si>
  <si>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</si>
  <si>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</si>
  <si>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</si>
  <si>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</si>
  <si>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</si>
  <si>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</si>
  <si>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</si>
  <si>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</si>
  <si>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</si>
  <si>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</si>
  <si>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</si>
  <si>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</si>
  <si>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</si>
  <si>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</si>
  <si>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</si>
  <si>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</si>
  <si>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</si>
  <si>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</si>
  <si>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</si>
  <si>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</si>
  <si>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</si>
  <si>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</si>
  <si>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</si>
  <si>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</si>
  <si>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</si>
  <si>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</si>
  <si>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</si>
  <si>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</si>
  <si>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</si>
  <si>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</si>
  <si>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</si>
  <si>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</si>
  <si>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</si>
  <si>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</si>
  <si>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</si>
  <si>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</si>
  <si>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</si>
  <si>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</si>
  <si>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</si>
  <si>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</si>
  <si>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</si>
  <si>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</si>
  <si>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</si>
  <si>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</si>
  <si>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</si>
  <si>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</si>
  <si>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</si>
  <si>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</si>
  <si>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</si>
  <si>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</si>
  <si>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</si>
  <si>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</si>
  <si>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</si>
  <si>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</si>
  <si>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</si>
  <si>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</si>
  <si>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</si>
  <si>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</si>
  <si>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</si>
  <si>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</si>
  <si>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</si>
  <si>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</si>
  <si>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</si>
  <si>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</si>
  <si>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</si>
  <si>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</si>
  <si>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</si>
  <si>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</si>
  <si>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</si>
  <si>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</si>
  <si>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</si>
  <si>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</si>
  <si>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</si>
  <si>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</si>
  <si>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</si>
  <si>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</si>
  <si>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</si>
  <si>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</si>
  <si>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</si>
  <si>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</si>
  <si>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</si>
  <si>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</si>
  <si>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</si>
  <si>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</si>
  <si>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</si>
  <si>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</si>
  <si>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</si>
  <si>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</si>
  <si>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</si>
  <si>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</si>
  <si>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</si>
  <si>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</si>
  <si>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</si>
  <si>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</si>
  <si>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</si>
  <si>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</si>
  <si>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</si>
  <si>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</si>
  <si>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</si>
  <si>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</si>
  <si>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</si>
  <si>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</si>
  <si>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</si>
  <si>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</si>
  <si>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</si>
  <si>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</si>
  <si>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</si>
  <si>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</si>
  <si>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</si>
  <si>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</si>
  <si>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</si>
  <si>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</si>
  <si>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</si>
  <si>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</si>
  <si>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</si>
  <si>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</si>
  <si>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</si>
  <si>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</si>
  <si>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</si>
  <si>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</si>
  <si>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</si>
  <si>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</si>
  <si>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</si>
  <si>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</si>
  <si>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</si>
  <si>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</si>
  <si>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</si>
  <si>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</si>
  <si>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</si>
  <si>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</si>
  <si>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</si>
  <si>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</si>
  <si>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</si>
  <si>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</si>
  <si>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</si>
  <si>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</si>
  <si>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</si>
  <si>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</si>
  <si>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</si>
  <si>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</si>
  <si>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</si>
  <si>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</si>
  <si>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</si>
  <si>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</si>
  <si>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</si>
  <si>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</si>
  <si>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</si>
  <si>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</si>
  <si>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</si>
  <si>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</si>
  <si>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</si>
  <si>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</si>
  <si>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</si>
  <si>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</si>
  <si>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</si>
  <si>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</si>
  <si>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</si>
  <si>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</si>
  <si>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</si>
  <si>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</si>
  <si>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</si>
  <si>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</si>
  <si>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</si>
  <si>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</si>
  <si>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</si>
  <si>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</si>
  <si>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</si>
  <si>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</si>
  <si>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</si>
  <si>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</si>
  <si>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</si>
  <si>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</si>
  <si>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</si>
  <si>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</si>
  <si>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</si>
  <si>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</si>
  <si>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</si>
  <si>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</si>
  <si>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</si>
  <si>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</si>
  <si>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</si>
  <si>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</si>
  <si>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</si>
  <si>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</si>
  <si>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</si>
  <si>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</si>
  <si>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</si>
  <si>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</si>
  <si>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</si>
  <si>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</si>
  <si>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</si>
  <si>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</si>
  <si>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</si>
  <si>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</si>
  <si>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</si>
  <si>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</si>
  <si>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</si>
  <si>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</si>
  <si>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</si>
  <si>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</si>
  <si>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</si>
  <si>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</si>
  <si>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</si>
  <si>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</si>
  <si>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</si>
  <si>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</si>
  <si>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</si>
  <si>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</si>
  <si>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</si>
  <si>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</si>
  <si>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</si>
  <si>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</si>
  <si>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</si>
  <si>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</si>
  <si>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</si>
  <si>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</si>
  <si>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</si>
  <si>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</si>
  <si>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</si>
  <si>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</si>
  <si>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</si>
  <si>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</si>
  <si>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</si>
  <si>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</si>
  <si>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</si>
  <si>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</si>
  <si>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</si>
  <si>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</si>
  <si>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</si>
  <si>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</si>
  <si>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</si>
  <si>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</si>
  <si>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</si>
  <si>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</si>
  <si>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</si>
  <si>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</si>
  <si>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</si>
  <si>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</si>
  <si>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</si>
  <si>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</si>
  <si>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</si>
  <si>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</si>
  <si>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</si>
  <si>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</si>
  <si>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</si>
  <si>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</si>
  <si>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</si>
  <si>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</si>
  <si>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</si>
  <si>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</si>
  <si>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</si>
  <si>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</si>
  <si>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</si>
  <si>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</si>
  <si>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</si>
  <si>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</si>
  <si>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</si>
  <si>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</si>
  <si>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</si>
  <si>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</si>
  <si>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</si>
  <si>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</si>
  <si>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</si>
  <si>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</si>
  <si>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</si>
  <si>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</si>
  <si>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</si>
  <si>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</si>
  <si>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</si>
  <si>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</si>
  <si>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</si>
  <si>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</si>
  <si>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</si>
  <si>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</si>
  <si>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</si>
  <si>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</si>
  <si>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</si>
  <si>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</si>
  <si>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</si>
  <si>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</si>
  <si>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</si>
  <si>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</si>
  <si>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</si>
  <si>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</si>
  <si>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</si>
  <si>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</si>
  <si>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</si>
  <si>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</si>
  <si>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</si>
  <si>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</si>
  <si>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</si>
  <si>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</si>
  <si>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</si>
  <si>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</si>
  <si>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</si>
  <si>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</si>
  <si>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</si>
  <si>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</si>
  <si>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</si>
  <si>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</si>
  <si>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</si>
  <si>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</si>
  <si>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</si>
  <si>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</si>
  <si>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</si>
  <si>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</si>
  <si>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</si>
  <si>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</si>
  <si>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</si>
  <si>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</si>
  <si>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</si>
  <si>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</si>
  <si>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</si>
  <si>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</si>
  <si>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</si>
  <si>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</si>
  <si>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</si>
  <si>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</si>
  <si>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</si>
  <si>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</si>
  <si>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</si>
  <si>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</si>
  <si>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</si>
  <si>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</si>
  <si>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</si>
  <si>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</si>
  <si>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</si>
  <si>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</si>
  <si>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</si>
  <si>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</si>
  <si>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</si>
  <si>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</si>
  <si>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</si>
  <si>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</si>
  <si>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</si>
  <si>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</si>
  <si>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</si>
  <si>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</si>
  <si>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</si>
  <si>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</si>
  <si>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</si>
  <si>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</si>
  <si>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</si>
  <si>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</si>
  <si>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</si>
  <si>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</si>
  <si>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</si>
  <si>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</si>
  <si>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</si>
  <si>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</si>
  <si>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</si>
  <si>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</si>
  <si>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</si>
  <si>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</si>
  <si>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</si>
  <si>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</si>
  <si>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</si>
  <si>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</si>
  <si>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</si>
  <si>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</si>
  <si>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</si>
  <si>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</si>
  <si>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</si>
  <si>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</si>
  <si>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</si>
  <si>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</si>
  <si>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</si>
  <si>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</si>
  <si>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</si>
  <si>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</si>
  <si>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</si>
  <si>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</si>
  <si>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</si>
  <si>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</si>
  <si>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</si>
  <si>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</si>
  <si>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</si>
  <si>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</si>
  <si>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</si>
  <si>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</si>
  <si>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</si>
  <si>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</si>
  <si>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</si>
  <si>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</si>
  <si>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</si>
  <si>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</si>
  <si>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</si>
  <si>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</si>
  <si>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</si>
  <si>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</si>
  <si>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</si>
  <si>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</si>
  <si>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</si>
  <si>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</si>
  <si>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</si>
  <si>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</si>
  <si>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</si>
  <si>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</si>
  <si>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</si>
  <si>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</si>
  <si>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</si>
  <si>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</si>
  <si>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</si>
  <si>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</si>
  <si>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</si>
  <si>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</si>
  <si>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</si>
  <si>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</si>
  <si>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</si>
  <si>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</si>
  <si>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</si>
  <si>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</si>
  <si>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</si>
  <si>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</si>
  <si>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</si>
  <si>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</si>
  <si>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</si>
  <si>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</si>
  <si>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</si>
  <si>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</si>
  <si>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</si>
  <si>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</si>
  <si>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</si>
  <si>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</si>
  <si>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</si>
  <si>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</si>
  <si>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</si>
  <si>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</si>
  <si>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</si>
  <si>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</si>
  <si>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</si>
  <si>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</si>
  <si>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</si>
  <si>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</si>
  <si>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</si>
  <si>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</si>
  <si>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</si>
  <si>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</si>
  <si>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</si>
  <si>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</si>
  <si>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</si>
  <si>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</si>
  <si>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</si>
  <si>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</si>
  <si>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</si>
  <si>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</si>
  <si>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</si>
  <si>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</si>
  <si>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</si>
  <si>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</si>
  <si>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</si>
  <si>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</si>
  <si>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</si>
  <si>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</si>
  <si>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</si>
  <si>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</si>
  <si>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</si>
  <si>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</si>
  <si>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</si>
  <si>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</si>
  <si>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</si>
  <si>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</si>
  <si>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</si>
  <si>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</si>
  <si>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</si>
  <si>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</si>
  <si>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</si>
  <si>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</si>
  <si>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</si>
  <si>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</si>
  <si>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</si>
  <si>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</si>
  <si>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</si>
  <si>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</si>
  <si>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</si>
  <si>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</si>
  <si>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</si>
  <si>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</si>
  <si>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</si>
  <si>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</si>
  <si>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</si>
  <si>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</si>
  <si>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</si>
  <si>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</si>
  <si>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</si>
  <si>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</si>
  <si>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</si>
  <si>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</si>
  <si>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</si>
  <si>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</si>
  <si>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</si>
  <si>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</si>
  <si>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</si>
  <si>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</si>
  <si>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</si>
  <si>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</si>
  <si>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</si>
  <si>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</si>
  <si>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</si>
  <si>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</si>
  <si>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</si>
  <si>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</si>
  <si>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</si>
  <si>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</si>
  <si>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</si>
  <si>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</si>
  <si>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</si>
  <si>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</si>
  <si>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</si>
  <si>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</si>
  <si>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</si>
  <si>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</si>
  <si>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</si>
  <si>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</si>
  <si>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</si>
  <si>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</si>
  <si>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</si>
  <si>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</si>
  <si>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</si>
  <si>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</si>
  <si>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</si>
  <si>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</si>
  <si>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</si>
  <si>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</si>
  <si>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</si>
  <si>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</si>
  <si>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</si>
  <si>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</si>
  <si>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</si>
  <si>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</si>
  <si>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</si>
  <si>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</si>
  <si>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</si>
  <si>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</si>
  <si>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</si>
  <si>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</si>
  <si>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</si>
  <si>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</si>
  <si>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</si>
  <si>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</si>
  <si>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</si>
  <si>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</si>
  <si>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</si>
  <si>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</si>
  <si>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</si>
  <si>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</si>
  <si>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</si>
  <si>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</si>
  <si>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</si>
  <si>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</si>
  <si>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</si>
  <si>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</si>
  <si>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</si>
  <si>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</si>
  <si>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</si>
  <si>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</si>
  <si>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</si>
  <si>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</si>
  <si>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</si>
  <si>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</si>
  <si>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</si>
  <si>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</si>
  <si>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</si>
  <si>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</si>
  <si>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</si>
  <si>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</si>
  <si>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</si>
  <si>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</si>
  <si>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</si>
  <si>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</si>
  <si>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</si>
  <si>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</si>
  <si>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</si>
  <si>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</si>
  <si>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</si>
  <si>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</si>
  <si>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</si>
  <si>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</si>
  <si>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</si>
  <si>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</si>
  <si>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</si>
  <si>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</si>
  <si>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</si>
  <si>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</si>
  <si>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</si>
  <si>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</si>
  <si>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</si>
  <si>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</si>
  <si>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</si>
  <si>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</si>
  <si>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</si>
  <si>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</si>
  <si>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</si>
  <si>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</si>
  <si>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</si>
  <si>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</si>
  <si>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</si>
  <si>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</si>
  <si>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</si>
  <si>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</si>
  <si>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</si>
  <si>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</si>
  <si>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</si>
  <si>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</si>
  <si>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</si>
  <si>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</si>
  <si>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</si>
  <si>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</si>
  <si>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</si>
  <si>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</si>
  <si>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</si>
  <si>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</si>
  <si>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</si>
  <si>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</si>
  <si>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</si>
  <si>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</si>
  <si>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</si>
  <si>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</si>
  <si>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</si>
  <si>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</si>
  <si>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</si>
  <si>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</si>
  <si>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</si>
  <si>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</si>
  <si>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</si>
  <si>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</si>
  <si>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</si>
  <si>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</si>
  <si>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</si>
  <si>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</si>
  <si>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</si>
  <si>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</si>
  <si>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</si>
  <si>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</si>
  <si>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</si>
  <si>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</si>
  <si>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</si>
  <si>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</si>
  <si>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</si>
  <si>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</si>
  <si>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</si>
  <si>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</si>
  <si>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</si>
  <si>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</si>
  <si>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</si>
  <si>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</si>
  <si>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</si>
  <si>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</si>
  <si>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</si>
  <si>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</si>
  <si>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</si>
  <si>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</si>
  <si>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</si>
  <si>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</si>
  <si>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</si>
  <si>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</si>
  <si>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</si>
  <si>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</si>
  <si>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</si>
  <si>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</si>
  <si>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</si>
  <si>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</si>
  <si>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</si>
  <si>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</si>
  <si>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</si>
  <si>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</si>
  <si>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</si>
  <si>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</si>
  <si>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</si>
  <si>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</si>
  <si>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</si>
  <si>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</si>
  <si>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</si>
  <si>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</si>
  <si>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</si>
  <si>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</si>
  <si>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</si>
  <si>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</si>
  <si>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</si>
  <si>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</si>
  <si>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</si>
  <si>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</si>
  <si>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</si>
  <si>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</si>
  <si>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</si>
  <si>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</si>
  <si>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</si>
  <si>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</si>
  <si>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</si>
  <si>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</si>
  <si>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</si>
  <si>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</si>
  <si>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</si>
  <si>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</si>
  <si>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</si>
  <si>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</si>
  <si>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</si>
  <si>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</si>
  <si>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</si>
  <si>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</si>
  <si>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</si>
  <si>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</si>
  <si>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</si>
  <si>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</si>
  <si>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</si>
  <si>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</si>
  <si>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</si>
  <si>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</si>
  <si>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</si>
  <si>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</si>
  <si>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</si>
  <si>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</si>
  <si>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</si>
  <si>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</si>
  <si>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</si>
  <si>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</si>
  <si>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</si>
  <si>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</si>
  <si>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</si>
  <si>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</si>
  <si>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</si>
  <si>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</si>
  <si>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</si>
  <si>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</si>
  <si>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</si>
  <si>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</si>
  <si>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</si>
  <si>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</si>
  <si>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</si>
  <si>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</si>
  <si>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</si>
  <si>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</si>
  <si>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</si>
  <si>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</si>
  <si>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</si>
  <si>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</si>
  <si>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</si>
  <si>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</si>
  <si>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</si>
  <si>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</si>
  <si>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</si>
  <si>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</si>
  <si>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</si>
  <si>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</si>
  <si>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</si>
  <si>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</si>
  <si>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</si>
  <si>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</si>
  <si>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</si>
  <si>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</si>
  <si>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</si>
  <si>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</si>
  <si>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</si>
  <si>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</si>
  <si>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</si>
  <si>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</si>
  <si>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</si>
  <si>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</si>
  <si>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</si>
  <si>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</si>
  <si>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</si>
  <si>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</si>
  <si>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</si>
  <si>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</si>
  <si>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</si>
  <si>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</si>
  <si>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</si>
  <si>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</si>
  <si>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</si>
  <si>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</si>
  <si>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</si>
  <si>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</si>
  <si>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</si>
  <si>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</si>
  <si>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</si>
  <si>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</si>
  <si>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</si>
  <si>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</si>
  <si>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</si>
  <si>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</si>
  <si>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</si>
  <si>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</si>
  <si>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</si>
  <si>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</si>
  <si>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</si>
  <si>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</si>
  <si>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</si>
  <si>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</si>
  <si>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</si>
  <si>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</si>
  <si>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</si>
  <si>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</si>
  <si>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</si>
  <si>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</si>
  <si>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</si>
  <si>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</si>
  <si>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</si>
  <si>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</si>
  <si>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</si>
  <si>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</si>
  <si>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</si>
  <si>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</si>
  <si>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</si>
  <si>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</si>
  <si>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</si>
  <si>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</si>
  <si>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</si>
  <si>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</si>
  <si>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</si>
  <si>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</si>
  <si>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</si>
  <si>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</si>
  <si>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</si>
  <si>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</si>
  <si>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</si>
  <si>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</si>
  <si>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</si>
  <si>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</si>
  <si>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</si>
  <si>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</si>
  <si>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</si>
  <si>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</si>
  <si>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</si>
  <si>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</si>
  <si>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</si>
  <si>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</si>
  <si>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</si>
  <si>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</si>
  <si>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</si>
  <si>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</si>
  <si>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</si>
  <si>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</si>
  <si>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</si>
  <si>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</si>
  <si>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</si>
  <si>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</si>
  <si>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</si>
  <si>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</si>
  <si>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</si>
  <si>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</si>
  <si>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</si>
  <si>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</si>
  <si>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</si>
  <si>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</si>
  <si>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</si>
  <si>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</si>
  <si>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</si>
  <si>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</si>
  <si>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</si>
  <si>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</si>
  <si>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</si>
  <si>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</si>
  <si>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</si>
  <si>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</si>
  <si>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</si>
  <si>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</si>
  <si>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</si>
  <si>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</si>
  <si>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</si>
  <si>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</si>
  <si>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</si>
  <si>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</si>
  <si>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</si>
  <si>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</si>
  <si>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</si>
  <si>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</si>
  <si>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</si>
  <si>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</si>
  <si>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</si>
  <si>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</si>
  <si>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</si>
  <si>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</si>
  <si>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</si>
  <si>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</si>
  <si>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</si>
  <si>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</si>
  <si>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</si>
  <si>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</si>
  <si>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</si>
  <si>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</si>
  <si>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</si>
  <si>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</si>
  <si>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</si>
  <si>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</si>
  <si>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</si>
  <si>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</si>
  <si>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</si>
  <si>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</si>
  <si>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</si>
  <si>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</si>
  <si>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</si>
  <si>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</si>
  <si>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</si>
  <si>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</si>
  <si>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</si>
  <si>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</si>
  <si>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</si>
  <si>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</si>
  <si>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</si>
  <si>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</si>
  <si>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</si>
  <si>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</si>
  <si>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</si>
  <si>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</si>
  <si>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</si>
  <si>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</si>
  <si>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</si>
  <si>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</si>
  <si>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</si>
  <si>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</si>
  <si>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</si>
  <si>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</si>
  <si>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</si>
  <si>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</si>
  <si>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</si>
  <si>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</si>
  <si>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</si>
  <si>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</si>
  <si>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</si>
  <si>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</si>
  <si>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</si>
  <si>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</si>
  <si>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</si>
  <si>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</si>
  <si>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</si>
  <si>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</si>
  <si>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</si>
  <si>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</si>
  <si>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</si>
  <si>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</si>
  <si>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</si>
  <si>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</si>
  <si>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</si>
  <si>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</si>
  <si>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</si>
  <si>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</si>
  <si>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</si>
  <si>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</si>
  <si>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</si>
  <si>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</si>
  <si>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</si>
  <si>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</si>
  <si>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</si>
  <si>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</si>
  <si>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</si>
  <si>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</si>
  <si>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</si>
  <si>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</si>
  <si>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</si>
  <si>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</si>
  <si>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</si>
  <si>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</si>
  <si>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</si>
  <si>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</si>
  <si>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</si>
  <si>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</si>
  <si>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</si>
  <si>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</si>
  <si>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</si>
  <si>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</si>
  <si>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</si>
  <si>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</si>
  <si>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</si>
  <si>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</si>
  <si>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</si>
  <si>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</si>
  <si>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</si>
  <si>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</si>
  <si>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</si>
  <si>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</si>
  <si>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</si>
  <si>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</si>
  <si>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</si>
  <si>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</si>
  <si>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</si>
  <si>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</si>
  <si>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</si>
  <si>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</si>
  <si>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</si>
  <si>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</si>
  <si>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</si>
  <si>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</si>
  <si>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</si>
  <si>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</si>
  <si>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</si>
  <si>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</si>
  <si>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</si>
  <si>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</si>
  <si>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</si>
  <si>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</si>
  <si>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</si>
  <si>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</si>
  <si>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</si>
  <si>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</si>
  <si>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</si>
  <si>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</si>
  <si>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</si>
  <si>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</si>
  <si>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</si>
  <si>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</si>
  <si>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</si>
  <si>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</si>
  <si>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</si>
  <si>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</si>
  <si>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</si>
  <si>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</si>
  <si>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</si>
  <si>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</si>
  <si>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</si>
  <si>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</si>
  <si>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</si>
  <si>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</si>
  <si>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</si>
  <si>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</si>
  <si>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</si>
  <si>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</si>
  <si>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</si>
  <si>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</si>
  <si>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</si>
  <si>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</si>
  <si>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</si>
  <si>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</si>
  <si>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</si>
  <si>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</si>
  <si>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</si>
  <si>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</si>
  <si>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</si>
  <si>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</si>
  <si>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</si>
  <si>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</si>
  <si>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</si>
  <si>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</si>
  <si>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</si>
  <si>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</si>
  <si>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</si>
  <si>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</si>
  <si>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</si>
  <si>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</si>
  <si>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</si>
  <si>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</si>
  <si>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</si>
  <si>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</si>
  <si>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</si>
  <si>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</si>
  <si>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</si>
  <si>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</si>
  <si>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</si>
  <si>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</si>
  <si>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</si>
  <si>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</si>
  <si>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</si>
  <si>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</si>
  <si>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</si>
  <si>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</si>
  <si>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</si>
  <si>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</si>
  <si>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</si>
  <si>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</si>
  <si>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</si>
  <si>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</si>
  <si>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</si>
  <si>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</si>
  <si>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</si>
  <si>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</si>
  <si>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</si>
  <si>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</si>
  <si>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</si>
  <si>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</si>
  <si>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</si>
  <si>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</si>
  <si>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</si>
  <si>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</si>
  <si>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</si>
  <si>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</si>
  <si>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</si>
  <si>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</si>
  <si>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</si>
  <si>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</si>
  <si>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</si>
  <si>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</si>
  <si>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</si>
  <si>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</si>
  <si>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</si>
  <si>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</si>
  <si>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</si>
  <si>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</si>
  <si>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</si>
  <si>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</si>
  <si>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</si>
  <si>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</si>
  <si>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</si>
  <si>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</si>
  <si>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</si>
  <si>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</si>
  <si>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</si>
  <si>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</si>
  <si>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</si>
  <si>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</si>
  <si>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</si>
  <si>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</si>
  <si>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</si>
  <si>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</si>
  <si>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</si>
  <si>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</si>
  <si>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</si>
  <si>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</si>
  <si>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</si>
  <si>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</si>
  <si>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</si>
  <si>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</si>
  <si>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</si>
  <si>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</si>
  <si>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</si>
  <si>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</si>
  <si>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</si>
  <si>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</si>
  <si>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</si>
  <si>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</si>
  <si>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</si>
  <si>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</si>
  <si>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</si>
  <si>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</si>
  <si>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</si>
  <si>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</si>
  <si>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</si>
  <si>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</si>
  <si>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</si>
  <si>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</si>
  <si>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</si>
  <si>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</si>
  <si>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</si>
  <si>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</si>
  <si>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</si>
  <si>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</si>
  <si>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</si>
  <si>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</si>
  <si>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</si>
  <si>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</si>
  <si>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</si>
  <si>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</si>
  <si>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</si>
  <si>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</si>
  <si>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</si>
  <si>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</si>
  <si>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</si>
  <si>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</si>
  <si>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</si>
  <si>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</si>
  <si>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</si>
  <si>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</si>
  <si>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</si>
  <si>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</si>
  <si>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</si>
  <si>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</si>
  <si>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</si>
  <si>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</si>
  <si>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</si>
  <si>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</si>
  <si>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</si>
  <si>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</si>
  <si>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</si>
  <si>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</si>
  <si>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</si>
  <si>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</si>
  <si>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</si>
  <si>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</si>
  <si>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</si>
  <si>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</si>
  <si>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</si>
  <si>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</si>
  <si>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</si>
  <si>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</si>
  <si>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</si>
  <si>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</si>
  <si>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</si>
  <si>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</si>
  <si>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</si>
  <si>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</si>
  <si>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</si>
  <si>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</si>
  <si>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</si>
  <si>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</si>
  <si>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</si>
  <si>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</si>
  <si>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</si>
  <si>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</si>
  <si>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</si>
  <si>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</si>
  <si>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</si>
  <si>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</si>
  <si>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</si>
  <si>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</si>
  <si>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</si>
  <si>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</si>
  <si>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</si>
  <si>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</si>
  <si>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</si>
  <si>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</si>
  <si>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</si>
  <si>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</si>
  <si>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</si>
  <si>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</si>
  <si>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</si>
  <si>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</si>
  <si>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</si>
  <si>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</si>
  <si>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</si>
  <si>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</si>
  <si>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</si>
  <si>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</si>
  <si>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</si>
  <si>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</si>
  <si>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</si>
  <si>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</si>
  <si>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</si>
  <si>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</si>
  <si>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</si>
  <si>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</si>
  <si>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</si>
  <si>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</si>
  <si>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</si>
  <si>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</si>
  <si>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</si>
  <si>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</si>
  <si>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</si>
  <si>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</si>
  <si>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</si>
  <si>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</si>
  <si>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</si>
  <si>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</si>
  <si>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</si>
  <si>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</si>
  <si>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</si>
  <si>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</si>
  <si>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</si>
  <si>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</si>
  <si>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</si>
  <si>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</si>
  <si>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</si>
  <si>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</si>
  <si>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</si>
  <si>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</si>
  <si>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</si>
  <si>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</si>
  <si>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</si>
  <si>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</si>
  <si>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</si>
  <si>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</si>
  <si>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</si>
  <si>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</si>
  <si>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</si>
  <si>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</si>
  <si>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</si>
  <si>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</si>
  <si>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</si>
  <si>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</si>
  <si>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</si>
  <si>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</si>
  <si>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</si>
  <si>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</si>
  <si>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</si>
  <si>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</si>
  <si>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</si>
  <si>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</si>
  <si>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</si>
  <si>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</si>
  <si>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</si>
  <si>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</si>
  <si>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</si>
  <si>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</si>
  <si>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</si>
  <si>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</si>
  <si>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</si>
  <si>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</si>
  <si>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</si>
  <si>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</si>
  <si>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</si>
  <si>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</si>
  <si>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</si>
  <si>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</si>
  <si>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</si>
  <si>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</si>
  <si>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</si>
  <si>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</si>
  <si>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</si>
  <si>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</si>
  <si>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</si>
  <si>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</si>
  <si>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</si>
  <si>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</si>
  <si>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</si>
  <si>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</si>
  <si>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</si>
  <si>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</si>
  <si>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</si>
  <si>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</si>
  <si>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</si>
  <si>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</si>
  <si>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</si>
  <si>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</si>
  <si>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</si>
  <si>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</si>
  <si>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</si>
  <si>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</si>
  <si>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</si>
  <si>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</si>
  <si>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</si>
  <si>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</si>
  <si>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</si>
  <si>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</si>
  <si>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</si>
  <si>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</si>
  <si>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</si>
  <si>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</si>
  <si>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</si>
  <si>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</si>
  <si>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</si>
  <si>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</si>
  <si>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</si>
  <si>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</si>
  <si>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</si>
  <si>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</si>
  <si>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</si>
  <si>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</si>
  <si>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</si>
  <si>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</si>
  <si>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</si>
  <si>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</si>
  <si>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</si>
  <si>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</si>
  <si>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</si>
  <si>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</si>
  <si>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</si>
  <si>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</si>
  <si>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</si>
  <si>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</si>
  <si>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</si>
  <si>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</si>
  <si>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</si>
  <si>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</si>
  <si>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</si>
  <si>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</si>
  <si>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</si>
  <si>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</si>
  <si>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</si>
  <si>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</si>
  <si>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</si>
  <si>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</si>
  <si>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</si>
  <si>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</si>
  <si>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</si>
  <si>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</si>
  <si>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</si>
  <si>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</si>
  <si>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</si>
  <si>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</si>
  <si>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</si>
  <si>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</si>
  <si>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</si>
  <si>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</si>
  <si>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</si>
  <si>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</si>
  <si>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</si>
  <si>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</si>
  <si>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</si>
  <si>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</si>
  <si>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</si>
  <si>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</si>
  <si>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</si>
  <si>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</si>
  <si>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</si>
  <si>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</si>
  <si>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</si>
  <si>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</si>
  <si>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</si>
  <si>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</si>
  <si>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</si>
  <si>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</si>
  <si>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</si>
  <si>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</si>
  <si>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</si>
  <si>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</si>
  <si>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</si>
  <si>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</si>
  <si>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</si>
  <si>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</si>
  <si>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</si>
  <si>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</si>
  <si>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</si>
  <si>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</si>
  <si>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</si>
  <si>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</si>
  <si>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</si>
  <si>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</si>
  <si>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</si>
  <si>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</si>
  <si>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</si>
  <si>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</si>
  <si>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</si>
  <si>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</si>
  <si>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</si>
  <si>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</si>
  <si>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</si>
  <si>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</si>
  <si>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</si>
  <si>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</si>
  <si>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</si>
  <si>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</si>
  <si>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</si>
  <si>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</si>
  <si>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</si>
  <si>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</si>
  <si>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</si>
  <si>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</si>
  <si>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</si>
  <si>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</si>
  <si>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</si>
  <si>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</si>
  <si>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</si>
  <si>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</si>
  <si>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</si>
  <si>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</si>
  <si>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</si>
  <si>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</si>
  <si>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</si>
  <si>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</si>
  <si>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</si>
  <si>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</si>
  <si>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</si>
  <si>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</si>
  <si>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</si>
  <si>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</si>
  <si>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</si>
  <si>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</si>
  <si>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</si>
  <si>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</si>
  <si>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</si>
  <si>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</si>
  <si>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</si>
  <si>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</si>
  <si>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</si>
  <si>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</si>
  <si>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</si>
  <si>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</si>
  <si>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</si>
  <si>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</si>
  <si>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</si>
  <si>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</si>
  <si>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</si>
  <si>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</si>
  <si>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</si>
  <si>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</si>
  <si>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</si>
  <si>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</si>
  <si>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</si>
  <si>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</si>
  <si>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</si>
  <si>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</si>
  <si>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</si>
  <si>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</si>
  <si>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</si>
  <si>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</si>
  <si>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</si>
  <si>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</si>
  <si>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</si>
  <si>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</si>
  <si>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</si>
  <si>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</si>
  <si>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</si>
  <si>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</si>
  <si>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</si>
  <si>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</si>
  <si>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</si>
  <si>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</si>
  <si>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</si>
  <si>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</si>
  <si>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</si>
  <si>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</si>
  <si>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</si>
  <si>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</si>
  <si>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</si>
  <si>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</si>
  <si>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</si>
  <si>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</si>
  <si>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</si>
  <si>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</si>
  <si>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</si>
  <si>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</si>
  <si>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</si>
  <si>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</si>
  <si>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</si>
  <si>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</si>
  <si>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</si>
  <si>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</si>
  <si>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</si>
  <si>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</si>
  <si>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</si>
  <si>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</si>
  <si>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</si>
  <si>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</si>
  <si>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</si>
  <si>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</si>
  <si>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</si>
  <si>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</si>
  <si>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</si>
  <si>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</si>
  <si>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</si>
  <si>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</si>
  <si>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</si>
  <si>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</si>
  <si>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</si>
  <si>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</si>
  <si>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</si>
  <si>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</si>
  <si>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</si>
  <si>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</si>
  <si>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</si>
  <si>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</si>
  <si>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</si>
  <si>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</si>
  <si>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</si>
  <si>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</si>
  <si>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</si>
  <si>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</si>
  <si>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</si>
  <si>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</si>
  <si>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</si>
  <si>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</si>
  <si>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</si>
  <si>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</si>
  <si>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</si>
  <si>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</si>
  <si>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</si>
  <si>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</si>
  <si>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</si>
  <si>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</si>
  <si>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</si>
  <si>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</si>
  <si>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</si>
  <si>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</si>
  <si>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</si>
  <si>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</si>
  <si>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</si>
  <si>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</si>
  <si>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</si>
  <si>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</si>
  <si>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</si>
  <si>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</si>
  <si>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</si>
  <si>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</si>
  <si>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</si>
  <si>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</si>
  <si>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</si>
  <si>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</si>
  <si>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</si>
  <si>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</si>
  <si>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</si>
  <si>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</si>
  <si>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</si>
  <si>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</si>
  <si>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</si>
  <si>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</si>
  <si>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</si>
  <si>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</si>
  <si>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</si>
  <si>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</si>
  <si>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</si>
  <si>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</si>
  <si>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</si>
  <si>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</si>
  <si>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</si>
  <si>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</si>
  <si>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</si>
  <si>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</si>
  <si>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</si>
  <si>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</si>
  <si>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</si>
  <si>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</si>
  <si>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</si>
  <si>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</si>
  <si>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</si>
  <si>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</si>
  <si>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</si>
  <si>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</si>
  <si>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</si>
  <si>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</si>
  <si>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</si>
  <si>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</si>
  <si>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</si>
  <si>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</si>
  <si>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</si>
  <si>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</si>
  <si>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</si>
  <si>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</si>
  <si>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</si>
  <si>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</si>
  <si>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</si>
  <si>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</si>
  <si>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</si>
  <si>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</si>
  <si>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</si>
  <si>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</si>
  <si>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</si>
  <si>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</si>
  <si>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</si>
  <si>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</si>
  <si>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</si>
  <si>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</si>
  <si>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</si>
  <si>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</si>
  <si>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</si>
  <si>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</si>
  <si>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</si>
  <si>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</si>
  <si>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</si>
  <si>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</si>
  <si>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</si>
  <si>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</si>
  <si>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</si>
  <si>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</si>
  <si>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</si>
  <si>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</si>
  <si>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</si>
  <si>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</si>
  <si>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</si>
  <si>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</si>
  <si>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</si>
  <si>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</si>
  <si>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</si>
  <si>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</si>
  <si>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</si>
  <si>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</si>
  <si>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</si>
  <si>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</si>
  <si>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</si>
  <si>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</si>
  <si>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</si>
  <si>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</si>
  <si>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</si>
  <si>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</si>
  <si>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</si>
  <si>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</si>
  <si>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</si>
  <si>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</si>
  <si>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</si>
  <si>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</si>
  <si>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</si>
  <si>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</si>
  <si>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</si>
  <si>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</si>
  <si>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</si>
  <si>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</si>
  <si>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</si>
  <si>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</si>
  <si>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</si>
  <si>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</si>
  <si>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</si>
  <si>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</si>
  <si>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</si>
  <si>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</si>
  <si>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</si>
  <si>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</si>
  <si>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</si>
  <si>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</si>
  <si>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</si>
  <si>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</si>
  <si>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</si>
  <si>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</si>
  <si>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</si>
  <si>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</si>
  <si>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</si>
  <si>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</si>
  <si>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</si>
  <si>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</si>
  <si>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</si>
  <si>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</si>
  <si>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</si>
  <si>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</si>
  <si>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</si>
  <si>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</si>
  <si>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</si>
  <si>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</si>
  <si>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</si>
  <si>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</si>
  <si>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</si>
  <si>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</si>
  <si>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</si>
  <si>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</si>
  <si>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</si>
  <si>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</si>
  <si>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</si>
  <si>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</si>
  <si>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</si>
  <si>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</si>
  <si>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</si>
  <si>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</si>
  <si>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</si>
  <si>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</si>
  <si>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</si>
  <si>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</si>
  <si>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</si>
  <si>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</si>
  <si>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</si>
  <si>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</si>
  <si>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</si>
  <si>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</si>
  <si>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</si>
  <si>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</si>
  <si>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</si>
  <si>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</si>
  <si>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</si>
  <si>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</si>
  <si>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</si>
  <si>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</si>
  <si>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</si>
  <si>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</si>
  <si>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</si>
  <si>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</si>
  <si>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</si>
  <si>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</si>
  <si>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</si>
  <si>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</si>
  <si>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</si>
  <si>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</si>
  <si>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</si>
  <si>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</si>
  <si>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</si>
  <si>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</si>
  <si>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</si>
  <si>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</si>
  <si>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</si>
  <si>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</si>
  <si>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</si>
  <si>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</si>
  <si>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</si>
  <si>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</si>
  <si>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</si>
  <si>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</si>
  <si>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</si>
  <si>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</si>
  <si>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</si>
  <si>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</si>
  <si>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</si>
  <si>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</si>
  <si>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</si>
  <si>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</si>
  <si>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</si>
  <si>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</si>
  <si>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</si>
  <si>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</si>
  <si>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</si>
  <si>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</si>
  <si>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</si>
  <si>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</si>
  <si>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</si>
  <si>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</si>
  <si>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</si>
  <si>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</si>
  <si>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</si>
  <si>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</si>
  <si>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</si>
  <si>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</si>
  <si>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</si>
  <si>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</si>
  <si>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</si>
  <si>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</si>
  <si>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</si>
  <si>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</si>
  <si>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</si>
  <si>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</si>
  <si>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</si>
  <si>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</si>
  <si>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</si>
  <si>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</si>
  <si>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</si>
  <si>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</si>
  <si>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</si>
  <si>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</si>
  <si>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</si>
  <si>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</si>
  <si>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</si>
  <si>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</si>
  <si>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</si>
  <si>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</si>
  <si>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</si>
  <si>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</si>
  <si>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</si>
  <si>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</si>
  <si>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</si>
  <si>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</si>
  <si>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</si>
  <si>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</si>
  <si>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</si>
  <si>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</si>
  <si>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</si>
  <si>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</si>
  <si>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</si>
  <si>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</si>
  <si>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</si>
  <si>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</si>
  <si>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</si>
  <si>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</si>
  <si>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</si>
  <si>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</si>
  <si>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</si>
  <si>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</si>
  <si>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</si>
  <si>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</si>
  <si>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</si>
  <si>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</si>
  <si>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</si>
  <si>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</si>
  <si>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</si>
  <si>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</si>
  <si>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</si>
  <si>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</si>
  <si>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</si>
  <si>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</si>
  <si>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</si>
  <si>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</si>
  <si>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</si>
  <si>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</si>
  <si>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</si>
  <si>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</si>
  <si>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</si>
  <si>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</si>
  <si>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</si>
  <si>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</si>
  <si>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</si>
  <si>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</si>
  <si>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</si>
  <si>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</si>
  <si>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</si>
  <si>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</si>
  <si>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</si>
  <si>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</si>
  <si>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</si>
  <si>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</si>
  <si>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</si>
  <si>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</si>
  <si>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</si>
  <si>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</si>
  <si>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</si>
  <si>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</si>
  <si>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</si>
  <si>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</si>
  <si>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</si>
  <si>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</si>
  <si>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</si>
  <si>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</si>
  <si>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</si>
  <si>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</si>
  <si>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</si>
  <si>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</si>
  <si>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</si>
  <si>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</si>
  <si>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</si>
  <si>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</si>
  <si>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</si>
  <si>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</si>
  <si>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</si>
  <si>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</si>
  <si>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</si>
  <si>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</si>
  <si>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</si>
  <si>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</si>
  <si>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</si>
  <si>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</si>
  <si>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</si>
  <si>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</si>
  <si>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</si>
  <si>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</si>
  <si>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</si>
  <si>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</si>
  <si>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</si>
  <si>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</si>
  <si>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</si>
  <si>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</si>
  <si>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</si>
  <si>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</si>
  <si>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</si>
  <si>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</si>
  <si>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</si>
  <si>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</si>
  <si>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</si>
  <si>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</si>
  <si>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</si>
  <si>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</si>
  <si>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</si>
  <si>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</si>
  <si>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</si>
  <si>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</si>
  <si>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</si>
  <si>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</si>
  <si>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</si>
  <si>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</si>
  <si>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</si>
  <si>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</si>
  <si>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</si>
  <si>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</si>
  <si>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</si>
  <si>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</si>
  <si>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</si>
  <si>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</si>
  <si>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</si>
  <si>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</si>
  <si>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</si>
  <si>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</si>
  <si>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</si>
  <si>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</si>
  <si>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</si>
  <si>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</si>
  <si>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</si>
  <si>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</si>
  <si>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</si>
  <si>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</si>
  <si>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</si>
  <si>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</si>
  <si>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</si>
  <si>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</si>
  <si>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</si>
  <si>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</si>
  <si>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</si>
  <si>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</si>
  <si>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</si>
  <si>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</si>
  <si>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</si>
  <si>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</si>
  <si>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</si>
  <si>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</si>
  <si>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</si>
  <si>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</si>
  <si>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</si>
  <si>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</si>
  <si>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</si>
  <si>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</si>
  <si>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</si>
  <si>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</si>
  <si>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</si>
  <si>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</si>
  <si>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</si>
  <si>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</si>
  <si>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</si>
  <si>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</si>
  <si>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</si>
  <si>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</si>
  <si>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</si>
  <si>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</si>
  <si>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</si>
  <si>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</si>
  <si>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</si>
  <si>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</si>
  <si>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</si>
  <si>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</si>
  <si>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</si>
  <si>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</si>
  <si>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</si>
  <si>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</si>
  <si>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</si>
  <si>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</si>
  <si>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</si>
  <si>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</si>
  <si>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</si>
  <si>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</si>
  <si>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</si>
  <si>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</si>
  <si>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</si>
  <si>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</si>
  <si>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</si>
  <si>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</si>
  <si>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</si>
  <si>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</si>
  <si>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</si>
  <si>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</si>
  <si>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</si>
  <si>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</si>
  <si>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</si>
  <si>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</si>
  <si>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</si>
  <si>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</si>
  <si>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</si>
  <si>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</si>
  <si>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</si>
  <si>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</si>
  <si>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</si>
  <si>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</si>
  <si>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</si>
  <si>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</si>
  <si>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</si>
  <si>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</si>
  <si>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</si>
  <si>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</si>
  <si>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</si>
  <si>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</si>
  <si>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</si>
  <si>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</si>
  <si>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</si>
  <si>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</si>
  <si>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</si>
  <si>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</si>
  <si>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</si>
  <si>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</si>
  <si>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</si>
  <si>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</si>
  <si>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</si>
  <si>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</si>
  <si>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</si>
  <si>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</si>
  <si>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</si>
  <si>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</si>
  <si>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</si>
  <si>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</si>
  <si>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</si>
  <si>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</si>
  <si>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</si>
  <si>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</si>
  <si>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</si>
  <si>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</si>
  <si>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</si>
  <si>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</si>
  <si>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</si>
  <si>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</si>
  <si>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</si>
  <si>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</si>
  <si>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</si>
  <si>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</si>
  <si>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</si>
  <si>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</si>
  <si>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</si>
  <si>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</si>
  <si>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</si>
  <si>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</si>
  <si>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</si>
  <si>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</si>
  <si>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</si>
  <si>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</si>
  <si>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</si>
  <si>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</si>
  <si>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</si>
  <si>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</si>
  <si>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</si>
  <si>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</si>
  <si>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</si>
  <si>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</si>
  <si>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</si>
  <si>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</si>
  <si>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</si>
  <si>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</si>
  <si>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</si>
  <si>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</si>
  <si>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</si>
  <si>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</si>
  <si>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</si>
  <si>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</si>
  <si>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</si>
  <si>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</si>
  <si>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</si>
  <si>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</si>
  <si>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</si>
  <si>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</si>
  <si>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</si>
  <si>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</si>
  <si>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</si>
  <si>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</si>
  <si>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</si>
  <si>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</si>
  <si>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</si>
  <si>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</si>
  <si>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</si>
  <si>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</si>
  <si>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</si>
  <si>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</si>
  <si>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</si>
  <si>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</si>
  <si>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</si>
  <si>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</si>
  <si>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</si>
  <si>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</si>
  <si>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</si>
  <si>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</si>
  <si>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</si>
  <si>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</si>
  <si>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</si>
  <si>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</si>
  <si>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</si>
  <si>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</si>
  <si>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</si>
  <si>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</si>
  <si>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</si>
  <si>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</si>
  <si>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</si>
  <si>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</si>
  <si>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</si>
  <si>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</si>
  <si>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</si>
  <si>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</si>
  <si>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</si>
  <si>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</si>
  <si>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</si>
  <si>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</si>
  <si>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</si>
  <si>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</si>
  <si>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</si>
  <si>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</si>
  <si>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</si>
  <si>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</si>
  <si>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</si>
  <si>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</si>
  <si>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</si>
  <si>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</si>
  <si>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</si>
  <si>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</si>
  <si>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</si>
  <si>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</si>
  <si>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</si>
  <si>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</si>
  <si>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</si>
  <si>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</si>
  <si>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</si>
  <si>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</si>
  <si>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</si>
  <si>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</si>
  <si>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</si>
  <si>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</si>
  <si>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</si>
  <si>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</si>
  <si>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</si>
  <si>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</si>
  <si>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</si>
  <si>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</si>
  <si>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</si>
  <si>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</si>
  <si>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</si>
  <si>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</si>
  <si>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</si>
  <si>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</si>
  <si>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</si>
  <si>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</si>
  <si>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</si>
  <si>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</si>
  <si>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</si>
  <si>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</si>
  <si>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</si>
  <si>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</si>
  <si>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</si>
  <si>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</si>
  <si>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</si>
  <si>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</si>
  <si>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</si>
  <si>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</si>
  <si>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</si>
  <si>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</si>
  <si>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</si>
  <si>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</si>
  <si>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</si>
  <si>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</si>
  <si>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</si>
  <si>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</si>
  <si>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</si>
  <si>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</si>
  <si>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</si>
  <si>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</si>
  <si>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</si>
  <si>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</si>
  <si>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</si>
  <si>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</si>
  <si>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</si>
  <si>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</si>
  <si>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</si>
  <si>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</si>
  <si>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</si>
  <si>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</si>
  <si>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</si>
  <si>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</si>
  <si>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</si>
  <si>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</si>
  <si>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</si>
  <si>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</si>
  <si>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</si>
  <si>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</si>
  <si>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</si>
  <si>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</si>
  <si>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</si>
  <si>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</si>
  <si>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</si>
  <si>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</si>
  <si>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</si>
  <si>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</si>
  <si>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</si>
  <si>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</si>
  <si>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</si>
  <si>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</si>
  <si>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</si>
  <si>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</si>
  <si>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</si>
  <si>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</si>
  <si>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</si>
  <si>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</si>
  <si>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</si>
  <si>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</si>
  <si>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</si>
  <si>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</si>
  <si>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</si>
  <si>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</si>
  <si>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</si>
  <si>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</si>
  <si>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</si>
  <si>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</si>
  <si>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</si>
  <si>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</si>
  <si>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</si>
  <si>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</si>
  <si>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</si>
  <si>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</si>
  <si>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</si>
  <si>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</si>
  <si>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</si>
  <si>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</si>
  <si>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</si>
  <si>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</si>
  <si>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</si>
  <si>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</si>
  <si>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</si>
  <si>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</si>
  <si>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</si>
  <si>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</si>
  <si>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</si>
  <si>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</si>
  <si>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</si>
  <si>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</si>
  <si>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</si>
  <si>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</si>
  <si>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</si>
  <si>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</si>
  <si>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</si>
  <si>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</si>
  <si>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</si>
  <si>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</si>
  <si>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</si>
  <si>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</si>
  <si>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</si>
  <si>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</si>
  <si>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</si>
  <si>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</si>
  <si>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</si>
  <si>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</si>
  <si>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</si>
  <si>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</si>
  <si>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</si>
  <si>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</si>
  <si>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</si>
  <si>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</si>
  <si>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</si>
  <si>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</si>
  <si>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</si>
  <si>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</si>
  <si>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</si>
  <si>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</si>
  <si>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</si>
  <si>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</si>
  <si>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</si>
  <si>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</si>
  <si>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</si>
  <si>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</si>
  <si>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</si>
  <si>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</si>
  <si>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</si>
  <si>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</si>
  <si>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</si>
  <si>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</si>
  <si>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</si>
  <si>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</si>
  <si>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</si>
  <si>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</si>
  <si>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</si>
  <si>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</si>
  <si>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</si>
  <si>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</si>
  <si>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</si>
  <si>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</si>
  <si>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</si>
  <si>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</si>
  <si>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</si>
  <si>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</si>
  <si>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</si>
  <si>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</si>
  <si>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</si>
  <si>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</si>
  <si>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</si>
  <si>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</si>
  <si>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</si>
  <si>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</si>
  <si>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</si>
  <si>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</si>
  <si>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</si>
  <si>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</si>
  <si>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</si>
  <si>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</si>
  <si>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</si>
  <si>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</si>
  <si>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</si>
  <si>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</si>
  <si>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</si>
  <si>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</si>
  <si>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</si>
  <si>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</si>
  <si>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</si>
  <si>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</si>
  <si>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</si>
  <si>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</si>
  <si>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</si>
  <si>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</si>
  <si>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</si>
  <si>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</si>
  <si>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</si>
  <si>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</si>
  <si>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</si>
  <si>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</si>
  <si>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</si>
  <si>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</si>
  <si>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</si>
  <si>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</si>
  <si>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</si>
  <si>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</si>
  <si>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</si>
  <si>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</si>
  <si>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</si>
  <si>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</si>
  <si>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</si>
  <si>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</si>
  <si>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</si>
  <si>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</si>
  <si>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</si>
  <si>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</si>
  <si>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</si>
  <si>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</si>
  <si>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</si>
  <si>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</si>
  <si>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</si>
  <si>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</si>
  <si>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</si>
  <si>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</si>
  <si>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</si>
  <si>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</si>
  <si>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</si>
  <si>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</si>
  <si>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</si>
  <si>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</si>
  <si>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</si>
  <si>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</si>
  <si>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</si>
  <si>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</si>
  <si>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</si>
  <si>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</si>
  <si>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</si>
  <si>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</si>
  <si>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</si>
  <si>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</si>
  <si>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</si>
  <si>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</si>
  <si>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</si>
  <si>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</si>
  <si>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</si>
  <si>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</si>
  <si>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</si>
  <si>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</si>
  <si>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</si>
  <si>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</si>
  <si>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</si>
  <si>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</si>
  <si>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</si>
  <si>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</si>
  <si>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</si>
  <si>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</si>
  <si>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</si>
  <si>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</si>
  <si>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</si>
  <si>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</si>
  <si>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</si>
  <si>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</si>
  <si>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</si>
  <si>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</si>
  <si>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</si>
  <si>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</si>
  <si>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</si>
  <si>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</si>
  <si>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</si>
  <si>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</si>
  <si>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</si>
  <si>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</si>
  <si>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</si>
  <si>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</si>
  <si>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</si>
  <si>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</si>
  <si>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</si>
  <si>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</si>
  <si>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</si>
  <si>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</si>
  <si>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</si>
  <si>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</si>
  <si>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</si>
  <si>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</si>
  <si>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</si>
  <si>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</si>
  <si>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</si>
  <si>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</si>
  <si>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</si>
  <si>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</si>
  <si>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</si>
  <si>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</si>
  <si>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</si>
  <si>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</si>
  <si>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</si>
  <si>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</si>
  <si>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</si>
  <si>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</si>
  <si>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</si>
  <si>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</si>
  <si>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</si>
  <si>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</si>
  <si>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</si>
  <si>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</si>
  <si>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</si>
  <si>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</si>
  <si>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</si>
  <si>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</si>
  <si>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</si>
  <si>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</si>
  <si>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</si>
  <si>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</si>
  <si>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</si>
  <si>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</si>
  <si>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</si>
  <si>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</si>
  <si>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</si>
  <si>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</si>
  <si>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</si>
  <si>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</si>
  <si>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</si>
  <si>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</si>
  <si>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</si>
  <si>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</si>
  <si>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</si>
  <si>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</si>
  <si>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</si>
  <si>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</si>
  <si>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</si>
  <si>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</si>
  <si>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</si>
  <si>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</si>
  <si>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</si>
  <si>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</si>
  <si>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</si>
  <si>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</si>
  <si>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</si>
  <si>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</si>
  <si>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</si>
  <si>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</si>
  <si>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</si>
  <si>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</si>
  <si>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</si>
  <si>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</si>
  <si>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</si>
  <si>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</si>
  <si>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</si>
  <si>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</si>
  <si>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</si>
  <si>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</si>
  <si>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</si>
  <si>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</si>
  <si>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</si>
  <si>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</si>
  <si>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</si>
  <si>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</si>
  <si>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</si>
  <si>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</si>
  <si>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</si>
  <si>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</si>
  <si>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</si>
  <si>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</si>
  <si>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</si>
  <si>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</si>
  <si>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</si>
  <si>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</si>
  <si>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</si>
  <si>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</si>
  <si>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</si>
  <si>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</si>
  <si>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</si>
  <si>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</si>
  <si>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</si>
  <si>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</si>
  <si>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</si>
  <si>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</si>
  <si>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</si>
  <si>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</si>
  <si>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</si>
  <si>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</si>
  <si>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</si>
  <si>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</si>
  <si>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</si>
  <si>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</si>
  <si>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</si>
  <si>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</si>
  <si>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</si>
  <si>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</si>
  <si>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</si>
  <si>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</si>
  <si>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</si>
  <si>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</si>
  <si>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</si>
  <si>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</si>
  <si>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</si>
  <si>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</si>
  <si>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</si>
  <si>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</si>
  <si>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</si>
  <si>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</si>
  <si>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</si>
  <si>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</si>
  <si>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</si>
  <si>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</si>
  <si>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</si>
  <si>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</si>
  <si>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</si>
  <si>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</si>
  <si>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</si>
  <si>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</si>
  <si>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</si>
  <si>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</si>
  <si>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</si>
  <si>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</si>
  <si>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</si>
  <si>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</si>
  <si>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</si>
  <si>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</si>
  <si>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</si>
  <si>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</si>
  <si>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</si>
  <si>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</si>
  <si>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</si>
  <si>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</si>
  <si>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</si>
  <si>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</si>
  <si>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</si>
  <si>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</si>
  <si>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</si>
  <si>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</si>
  <si>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</si>
  <si>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</si>
  <si>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</si>
  <si>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</si>
  <si>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</si>
  <si>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</si>
  <si>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</si>
  <si>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</si>
  <si>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</si>
  <si>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</si>
  <si>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</si>
  <si>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</si>
  <si>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</si>
  <si>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</si>
  <si>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</si>
  <si>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</si>
  <si>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</si>
  <si>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</si>
  <si>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</si>
  <si>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</si>
  <si>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</si>
  <si>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</si>
  <si>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</si>
  <si>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</si>
  <si>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</si>
  <si>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</si>
  <si>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</si>
  <si>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</si>
  <si>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</si>
  <si>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</si>
  <si>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</si>
  <si>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</si>
  <si>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</si>
  <si>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</si>
  <si>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</si>
  <si>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</si>
  <si>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</si>
  <si>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</si>
  <si>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</si>
  <si>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</si>
  <si>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</si>
  <si>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</si>
  <si>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</si>
  <si>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</si>
  <si>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</si>
  <si>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</si>
  <si>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</si>
  <si>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</si>
  <si>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</si>
  <si>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</si>
  <si>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</si>
  <si>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</si>
  <si>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</si>
  <si>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</si>
  <si>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</si>
  <si>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</si>
  <si>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</si>
  <si>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</si>
  <si>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</si>
  <si>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</si>
  <si>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</si>
  <si>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</si>
  <si>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</si>
  <si>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</si>
  <si>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</si>
  <si>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</si>
  <si>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</si>
  <si>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</si>
  <si>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</si>
  <si>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</si>
  <si>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</si>
  <si>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</si>
  <si>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</si>
  <si>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</si>
  <si>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</si>
  <si>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</si>
  <si>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</si>
  <si>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</si>
  <si>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</si>
  <si>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</si>
  <si>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</si>
  <si>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</si>
  <si>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</si>
  <si>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</si>
  <si>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</si>
  <si>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</si>
  <si>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</si>
  <si>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</si>
  <si>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</si>
  <si>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</si>
  <si>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</si>
  <si>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</si>
  <si>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</si>
  <si>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</si>
  <si>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</si>
  <si>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</si>
  <si>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</si>
  <si>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</si>
  <si>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</si>
  <si>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</si>
  <si>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</si>
  <si>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</si>
  <si>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</si>
  <si>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</si>
  <si>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</si>
  <si>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</si>
  <si>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</si>
  <si>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</si>
  <si>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</si>
  <si>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</si>
  <si>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</si>
  <si>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</si>
  <si>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</si>
  <si>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</si>
  <si>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</si>
  <si>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</si>
  <si>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</si>
  <si>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</si>
  <si>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</si>
  <si>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</si>
  <si>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</si>
  <si>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</si>
  <si>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</si>
  <si>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</si>
  <si>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</si>
  <si>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</si>
  <si>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</si>
  <si>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</si>
  <si>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</si>
  <si>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</si>
  <si>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</si>
  <si>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</si>
  <si>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</si>
  <si>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</si>
  <si>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</si>
  <si>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</si>
  <si>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</si>
  <si>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</si>
  <si>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</si>
  <si>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</si>
  <si>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</si>
  <si>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</si>
  <si>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</si>
  <si>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</si>
  <si>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</si>
  <si>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</si>
  <si>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</si>
  <si>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</si>
  <si>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</si>
  <si>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</si>
  <si>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</si>
  <si>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</si>
  <si>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</si>
  <si>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</si>
  <si>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</si>
  <si>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</si>
  <si>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</si>
  <si>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</si>
  <si>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</si>
  <si>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</si>
  <si>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</si>
  <si>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</si>
  <si>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</si>
  <si>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</si>
  <si>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</si>
  <si>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</si>
  <si>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</si>
  <si>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</si>
  <si>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</si>
  <si>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</si>
  <si>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</si>
  <si>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</si>
  <si>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</si>
  <si>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</si>
  <si>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</si>
  <si>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</si>
  <si>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</si>
  <si>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</si>
  <si>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</si>
  <si>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</si>
  <si>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</si>
  <si>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</si>
  <si>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</si>
  <si>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</si>
  <si>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</si>
  <si>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</si>
  <si>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</si>
  <si>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</si>
  <si>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</si>
  <si>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</si>
  <si>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</si>
  <si>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</si>
  <si>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</si>
  <si>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</si>
  <si>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</si>
  <si>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</si>
  <si>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</si>
  <si>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</si>
  <si>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</si>
  <si>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</si>
  <si>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</si>
  <si>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</si>
  <si>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</si>
  <si>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</si>
  <si>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</si>
  <si>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</si>
  <si>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</si>
  <si>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</si>
  <si>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</si>
  <si>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</si>
  <si>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</si>
  <si>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</si>
  <si>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</si>
  <si>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</si>
  <si>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</si>
  <si>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</si>
  <si>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</si>
  <si>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</si>
  <si>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</si>
  <si>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</si>
  <si>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</si>
  <si>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</si>
  <si>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</si>
  <si>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</si>
  <si>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</si>
  <si>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</si>
  <si>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</si>
  <si>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</si>
  <si>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</si>
  <si>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</si>
  <si>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</si>
  <si>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</si>
  <si>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</si>
  <si>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</si>
  <si>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</si>
  <si>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</si>
  <si>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</si>
  <si>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</si>
  <si>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</si>
  <si>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</si>
  <si>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</si>
  <si>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</si>
  <si>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</si>
  <si>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</si>
  <si>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</si>
  <si>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</si>
  <si>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</si>
  <si>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</si>
  <si>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</si>
  <si>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</si>
  <si>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</si>
  <si>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</si>
  <si>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</si>
  <si>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</si>
  <si>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</si>
  <si>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</si>
  <si>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</si>
  <si>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</si>
  <si>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</si>
  <si>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</si>
  <si>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</si>
  <si>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</si>
  <si>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</si>
  <si>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</si>
  <si>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</si>
  <si>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</si>
  <si>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</si>
  <si>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</si>
  <si>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</si>
  <si>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</si>
  <si>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</si>
  <si>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</si>
  <si>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</si>
  <si>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</si>
  <si>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</si>
  <si>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</si>
  <si>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</si>
  <si>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</si>
  <si>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</si>
  <si>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</si>
  <si>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</si>
  <si>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</si>
  <si>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</si>
  <si>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</si>
  <si>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</si>
  <si>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</si>
  <si>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</si>
  <si>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</si>
  <si>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</si>
  <si>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</si>
  <si>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</si>
  <si>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</si>
  <si>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</si>
  <si>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</si>
  <si>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</si>
  <si>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</si>
  <si>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</si>
  <si>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</si>
  <si>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</si>
  <si>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</si>
  <si>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</si>
  <si>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</si>
  <si>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</si>
  <si>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</si>
  <si>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</si>
  <si>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</si>
  <si>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</si>
  <si>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</si>
  <si>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</si>
  <si>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</si>
  <si>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</si>
  <si>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</si>
  <si>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</si>
  <si>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</si>
  <si>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</si>
  <si>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</si>
  <si>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</si>
  <si>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</si>
  <si>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</si>
  <si>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</si>
  <si>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</si>
  <si>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</si>
  <si>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</si>
  <si>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</si>
  <si>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</si>
  <si>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</si>
  <si>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</si>
  <si>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</si>
  <si>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</si>
  <si>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</si>
  <si>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</si>
  <si>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</si>
  <si>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</si>
  <si>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</si>
  <si>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</si>
  <si>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</si>
  <si>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</si>
  <si>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</si>
  <si>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</si>
  <si>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</si>
  <si>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</si>
  <si>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</si>
  <si>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</si>
  <si>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</si>
  <si>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</si>
  <si>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</si>
  <si>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</si>
  <si>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</si>
  <si>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</si>
  <si>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</si>
  <si>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</si>
  <si>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</si>
  <si>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</si>
  <si>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</si>
  <si>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</si>
  <si>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</si>
  <si>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</si>
  <si>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</si>
  <si>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</si>
  <si>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</si>
  <si>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</si>
  <si>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</si>
  <si>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</si>
  <si>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</si>
  <si>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</si>
  <si>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</si>
  <si>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</si>
  <si>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</si>
  <si>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</si>
  <si>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</si>
  <si>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</si>
  <si>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</si>
  <si>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</si>
  <si>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</si>
  <si>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</si>
  <si>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</si>
  <si>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</si>
  <si>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</si>
  <si>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</si>
  <si>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</si>
  <si>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</si>
  <si>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</si>
  <si>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</si>
  <si>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</si>
  <si>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</si>
  <si>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</si>
  <si>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</si>
  <si>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</si>
  <si>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</si>
  <si>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</si>
  <si>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</si>
  <si>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</si>
  <si>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</si>
  <si>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</si>
  <si>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</si>
  <si>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</si>
  <si>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</si>
  <si>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</si>
  <si>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</si>
  <si>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</si>
  <si>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</si>
  <si>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</si>
  <si>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</si>
  <si>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</si>
  <si>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</si>
  <si>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</si>
  <si>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</si>
  <si>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</si>
  <si>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</si>
  <si>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</si>
  <si>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</si>
  <si>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</si>
  <si>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</si>
  <si>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</si>
  <si>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</si>
  <si>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</si>
  <si>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</si>
  <si>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</si>
  <si>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</si>
  <si>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</si>
  <si>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</si>
  <si>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</si>
  <si>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</si>
  <si>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</si>
  <si>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</si>
  <si>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</si>
  <si>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</si>
  <si>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</si>
  <si>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</si>
  <si>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</si>
  <si>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</si>
  <si>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</si>
  <si>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</si>
  <si>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</si>
  <si>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</si>
  <si>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</si>
  <si>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</si>
  <si>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</si>
  <si>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</si>
  <si>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</si>
  <si>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</si>
  <si>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</si>
  <si>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</si>
  <si>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</si>
  <si>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</si>
  <si>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</si>
  <si>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</si>
  <si>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</si>
  <si>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</si>
  <si>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</si>
  <si>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</si>
  <si>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</si>
  <si>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</si>
  <si>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</si>
  <si>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</si>
  <si>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</si>
  <si>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</si>
  <si>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</si>
  <si>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</si>
  <si>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</si>
  <si>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</si>
  <si>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</si>
  <si>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</si>
  <si>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</si>
  <si>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</si>
  <si>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</si>
  <si>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</si>
  <si>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</si>
  <si>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</si>
  <si>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</si>
  <si>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</si>
  <si>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</si>
  <si>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</si>
  <si>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</si>
  <si>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</si>
  <si>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</si>
  <si>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</si>
  <si>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</si>
  <si>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</si>
  <si>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</si>
  <si>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</si>
  <si>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</si>
  <si>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</si>
  <si>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</si>
  <si>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</si>
  <si>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</si>
  <si>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</si>
  <si>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</si>
  <si>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</si>
  <si>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</si>
  <si>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</si>
  <si>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</si>
  <si>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</si>
  <si>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</si>
  <si>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</si>
  <si>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</si>
  <si>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</si>
  <si>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</si>
  <si>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</si>
  <si>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</si>
  <si>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</si>
  <si>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</si>
  <si>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</si>
  <si>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</si>
  <si>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</si>
  <si>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</si>
  <si>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</si>
  <si>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</si>
  <si>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</si>
  <si>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</si>
  <si>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</si>
  <si>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</si>
  <si>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</si>
  <si>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</si>
  <si>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</si>
  <si>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</si>
  <si>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</si>
  <si>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</si>
  <si>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</si>
  <si>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</si>
  <si>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</si>
  <si>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</si>
  <si>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</si>
  <si>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</si>
  <si>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</si>
  <si>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</si>
  <si>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</si>
  <si>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</si>
  <si>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</si>
  <si>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</si>
  <si>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</si>
  <si>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</si>
  <si>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</si>
  <si>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</si>
  <si>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</si>
  <si>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</si>
  <si>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</si>
  <si>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</si>
  <si>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</si>
  <si>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</si>
  <si>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</si>
  <si>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</si>
  <si>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</si>
  <si>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</si>
  <si>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</si>
  <si>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</si>
  <si>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</si>
  <si>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</si>
  <si>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</si>
  <si>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</si>
  <si>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</si>
  <si>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</si>
  <si>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</si>
  <si>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</si>
  <si>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</si>
  <si>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</si>
  <si>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</si>
  <si>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</si>
  <si>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</si>
  <si>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</si>
  <si>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</si>
  <si>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</si>
  <si>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</si>
  <si>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</si>
  <si>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</si>
  <si>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</si>
  <si>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</si>
  <si>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</si>
  <si>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</si>
  <si>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</si>
  <si>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</si>
  <si>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</si>
  <si>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</si>
  <si>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</si>
  <si>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</si>
  <si>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</si>
  <si>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</si>
  <si>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</si>
  <si>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</si>
  <si>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</si>
  <si>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</si>
  <si>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</si>
  <si>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</si>
  <si>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</si>
  <si>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</si>
  <si>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</si>
  <si>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</si>
  <si>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</si>
  <si>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</si>
  <si>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</si>
  <si>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</si>
  <si>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</si>
  <si>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</si>
  <si>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</si>
  <si>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</si>
  <si>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</si>
  <si>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</si>
  <si>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</si>
  <si>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</si>
  <si>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</si>
  <si>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</si>
  <si>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</si>
  <si>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</si>
  <si>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</si>
  <si>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</si>
  <si>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</si>
  <si>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</si>
  <si>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</si>
  <si>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</si>
  <si>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</si>
  <si>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</si>
  <si>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</si>
  <si>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</si>
  <si>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</si>
  <si>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</si>
  <si>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</si>
  <si>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</si>
  <si>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</si>
  <si>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</si>
  <si>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</si>
  <si>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</si>
  <si>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</si>
  <si>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</si>
  <si>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</si>
  <si>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</si>
  <si>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</si>
  <si>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</si>
  <si>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</si>
  <si>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</si>
  <si>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</si>
  <si>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</si>
  <si>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</si>
  <si>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</si>
  <si>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</si>
  <si>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</si>
  <si>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</si>
  <si>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</si>
  <si>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</si>
  <si>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</si>
  <si>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</si>
  <si>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</si>
  <si>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</si>
  <si>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</si>
  <si>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</si>
  <si>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</si>
  <si>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</si>
  <si>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</si>
  <si>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</si>
  <si>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</si>
  <si>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</si>
  <si>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</si>
  <si>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</si>
  <si>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</si>
  <si>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</si>
  <si>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</si>
  <si>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</si>
  <si>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</si>
  <si>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</si>
  <si>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</si>
  <si>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</si>
  <si>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</si>
  <si>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</si>
  <si>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</si>
  <si>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</si>
  <si>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</si>
  <si>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</si>
  <si>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</si>
  <si>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</si>
  <si>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</si>
  <si>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</si>
  <si>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</si>
  <si>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</si>
  <si>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</si>
  <si>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</si>
  <si>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</si>
  <si>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</si>
  <si>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</si>
  <si>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</si>
  <si>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</si>
  <si>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</si>
  <si>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</si>
  <si>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</si>
  <si>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</si>
  <si>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</si>
  <si>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</si>
  <si>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</si>
  <si>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</si>
  <si>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</si>
  <si>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</si>
  <si>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</si>
  <si>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</si>
  <si>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</si>
  <si>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</si>
  <si>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</si>
  <si>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</si>
  <si>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</si>
  <si>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</si>
  <si>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</si>
  <si>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</si>
  <si>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</si>
  <si>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</si>
  <si>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</si>
  <si>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</si>
  <si>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</si>
  <si>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</si>
  <si>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</si>
  <si>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</si>
  <si>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</si>
  <si>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</si>
  <si>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</si>
  <si>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</si>
  <si>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</si>
  <si>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</si>
  <si>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</si>
  <si>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</si>
  <si>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</si>
  <si>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</si>
  <si>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</si>
  <si>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</si>
  <si>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</si>
  <si>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</si>
  <si>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</si>
  <si>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</si>
  <si>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</si>
  <si>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</si>
  <si>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</si>
  <si>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</si>
  <si>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</si>
  <si>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</si>
  <si>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</si>
  <si>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</si>
  <si>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</si>
  <si>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</si>
  <si>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</si>
  <si>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</si>
  <si>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</si>
  <si>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</si>
  <si>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</si>
  <si>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</si>
  <si>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</si>
  <si>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</si>
  <si>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</si>
  <si>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</si>
  <si>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</si>
  <si>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</si>
  <si>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</si>
  <si>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</si>
  <si>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</si>
  <si>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</si>
  <si>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</si>
  <si>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</si>
  <si>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</si>
  <si>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</si>
  <si>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</si>
  <si>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</si>
  <si>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</si>
  <si>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</si>
  <si>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</si>
  <si>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</si>
  <si>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</si>
  <si>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</si>
  <si>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</si>
  <si>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</si>
  <si>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</si>
  <si>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</si>
  <si>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</si>
  <si>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</si>
  <si>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</si>
  <si>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</si>
  <si>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</si>
  <si>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</si>
  <si>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</si>
  <si>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</si>
  <si>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</si>
  <si>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</si>
  <si>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</si>
  <si>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</si>
  <si>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</si>
  <si>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</si>
  <si>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</si>
  <si>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</si>
  <si>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</si>
  <si>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</si>
  <si>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</si>
  <si>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</si>
  <si>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</si>
  <si>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</si>
  <si>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</si>
  <si>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</si>
  <si>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</si>
  <si>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</si>
  <si>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</si>
  <si>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</si>
  <si>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</si>
  <si>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</si>
  <si>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</si>
  <si>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</si>
  <si>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</si>
  <si>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</si>
  <si>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</si>
  <si>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</si>
  <si>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</si>
  <si>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</si>
  <si>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</si>
  <si>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</si>
  <si>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</si>
  <si>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</si>
  <si>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</si>
  <si>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</si>
  <si>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</si>
  <si>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</si>
  <si>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</si>
  <si>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</si>
  <si>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</si>
  <si>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</si>
  <si>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</si>
  <si>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</si>
  <si>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</si>
  <si>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</si>
  <si>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</si>
  <si>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</si>
  <si>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</si>
  <si>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</si>
  <si>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</si>
  <si>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</si>
  <si>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</si>
  <si>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</si>
  <si>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</si>
  <si>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</si>
  <si>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</si>
  <si>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</si>
  <si>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</si>
  <si>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</si>
  <si>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</si>
  <si>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</si>
  <si>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</si>
  <si>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</si>
  <si>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</si>
  <si>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</si>
  <si>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</si>
  <si>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</si>
  <si>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</si>
  <si>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</si>
  <si>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</si>
  <si>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</si>
  <si>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</si>
  <si>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</si>
  <si>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</si>
  <si>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</si>
  <si>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</si>
  <si>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</si>
  <si>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</si>
  <si>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</si>
  <si>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</si>
  <si>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</si>
  <si>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</si>
  <si>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</si>
  <si>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</si>
  <si>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</si>
  <si>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</si>
  <si>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</si>
  <si>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</si>
  <si>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</si>
  <si>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</si>
  <si>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</si>
  <si>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</si>
  <si>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</si>
  <si>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</si>
  <si>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</si>
  <si>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</si>
  <si>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</si>
  <si>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</si>
  <si>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</si>
  <si>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</si>
  <si>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</si>
  <si>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</si>
  <si>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</si>
  <si>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</si>
  <si>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</si>
  <si>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</si>
  <si>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</si>
  <si>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</si>
  <si>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</si>
  <si>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</si>
  <si>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</si>
  <si>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</si>
  <si>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</si>
  <si>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</si>
  <si>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</si>
  <si>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</si>
  <si>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</si>
  <si>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</si>
  <si>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</si>
  <si>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</si>
  <si>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</si>
  <si>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</si>
  <si>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</si>
  <si>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</si>
  <si>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</si>
  <si>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</si>
  <si>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</si>
  <si>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</si>
  <si>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</si>
  <si>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</si>
  <si>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</si>
  <si>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</si>
  <si>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</si>
  <si>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</si>
  <si>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</si>
  <si>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</si>
  <si>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</si>
  <si>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</si>
  <si>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</si>
  <si>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</si>
  <si>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</si>
  <si>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</si>
  <si>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</si>
  <si>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</si>
  <si>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</si>
  <si>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</si>
  <si>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</si>
  <si>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</si>
  <si>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</si>
  <si>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</si>
  <si>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</si>
  <si>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</si>
  <si>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</si>
  <si>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</si>
  <si>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</si>
  <si>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</si>
  <si>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</si>
  <si>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</si>
  <si>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</si>
  <si>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</si>
  <si>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</si>
  <si>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</si>
  <si>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</si>
  <si>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</si>
  <si>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</si>
  <si>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</si>
  <si>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</si>
  <si>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</si>
  <si>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</si>
  <si>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</si>
  <si>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</si>
  <si>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</si>
  <si>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</si>
  <si>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</si>
  <si>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</si>
  <si>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</si>
  <si>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</si>
  <si>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</si>
  <si>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</si>
  <si>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</si>
  <si>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</si>
  <si>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</si>
  <si>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</si>
  <si>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</si>
  <si>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</si>
  <si>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</si>
  <si>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</si>
  <si>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</si>
  <si>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</si>
  <si>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</si>
  <si>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</si>
  <si>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</si>
  <si>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</si>
  <si>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</si>
  <si>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</si>
  <si>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</si>
  <si>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</si>
  <si>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</si>
  <si>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</si>
  <si>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</si>
  <si>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</si>
  <si>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</si>
  <si>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</si>
  <si>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</si>
  <si>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</si>
  <si>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</si>
  <si>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</si>
  <si>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</si>
  <si>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</si>
  <si>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</si>
  <si>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</si>
  <si>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</si>
  <si>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</si>
  <si>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</si>
  <si>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</si>
  <si>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</si>
  <si>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</si>
  <si>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</si>
  <si>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</si>
  <si>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</si>
  <si>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</si>
  <si>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</si>
  <si>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</si>
  <si>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</si>
  <si>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</si>
  <si>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</si>
  <si>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</si>
  <si>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</si>
  <si>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</si>
  <si>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</si>
  <si>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</si>
  <si>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</si>
  <si>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</si>
  <si>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</si>
  <si>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</si>
  <si>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</si>
  <si>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</si>
  <si>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</si>
  <si>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</si>
  <si>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</si>
  <si>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</si>
  <si>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</si>
  <si>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</si>
  <si>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</si>
  <si>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</si>
  <si>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</si>
  <si>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</si>
  <si>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</si>
  <si>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</si>
  <si>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</si>
  <si>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</si>
  <si>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</si>
  <si>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</si>
  <si>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</si>
  <si>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</si>
  <si>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</si>
  <si>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</si>
  <si>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</si>
  <si>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</si>
  <si>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</si>
  <si>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</si>
  <si>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</si>
  <si>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</si>
  <si>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</si>
  <si>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</si>
  <si>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</si>
  <si>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</si>
  <si>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</si>
  <si>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</si>
  <si>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</si>
  <si>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</si>
  <si>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</si>
  <si>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</si>
  <si>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</si>
  <si>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</si>
  <si>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</si>
  <si>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</si>
  <si>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</si>
  <si>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</si>
  <si>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</si>
  <si>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</si>
  <si>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</si>
  <si>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</si>
  <si>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</si>
  <si>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</si>
  <si>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</si>
  <si>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</si>
  <si>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</si>
  <si>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</si>
  <si>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</si>
  <si>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</si>
  <si>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</si>
  <si>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</si>
  <si>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</si>
  <si>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</si>
  <si>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</si>
  <si>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</si>
  <si>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</si>
  <si>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</si>
  <si>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</si>
  <si>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</si>
  <si>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</si>
  <si>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</si>
  <si>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</si>
  <si>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</si>
  <si>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</si>
  <si>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</si>
  <si>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</si>
  <si>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</si>
  <si>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</si>
  <si>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</si>
  <si>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</si>
  <si>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</si>
  <si>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</si>
  <si>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</si>
  <si>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</si>
  <si>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</si>
  <si>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</si>
  <si>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</si>
  <si>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</si>
  <si>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</si>
  <si>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</si>
  <si>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</si>
  <si>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</si>
  <si>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</si>
  <si>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</si>
  <si>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</si>
  <si>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</si>
  <si>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</si>
  <si>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</si>
  <si>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</si>
  <si>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</si>
  <si>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</si>
  <si>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</si>
  <si>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</si>
  <si>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</si>
  <si>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</si>
  <si>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</si>
  <si>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</si>
  <si>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</si>
  <si>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</si>
  <si>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</si>
  <si>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</si>
  <si>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</si>
  <si>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</si>
  <si>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</si>
  <si>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</si>
  <si>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</si>
  <si>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</si>
  <si>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</si>
  <si>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</si>
  <si>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</si>
  <si>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</si>
  <si>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</si>
  <si>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</si>
  <si>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</si>
  <si>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</si>
  <si>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</si>
  <si>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</si>
  <si>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</si>
  <si>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</si>
  <si>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</si>
  <si>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</si>
  <si>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</si>
  <si>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</si>
  <si>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</si>
  <si>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</si>
  <si>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</si>
  <si>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</si>
  <si>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</si>
  <si>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</si>
  <si>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</si>
  <si>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</si>
  <si>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</si>
  <si>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</si>
  <si>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</si>
  <si>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</si>
  <si>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</si>
  <si>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</si>
  <si>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</si>
  <si>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</si>
  <si>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</si>
  <si>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</si>
  <si>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</si>
  <si>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</si>
  <si>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</si>
  <si>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</si>
  <si>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</si>
  <si>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</si>
  <si>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</si>
  <si>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</si>
  <si>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</si>
  <si>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</si>
  <si>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</si>
  <si>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</si>
  <si>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</si>
  <si>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</si>
  <si>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</si>
  <si>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</si>
  <si>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</si>
  <si>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</si>
  <si>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</si>
  <si>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</si>
  <si>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</si>
  <si>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</si>
  <si>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</si>
  <si>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</si>
  <si>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</si>
  <si>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</si>
  <si>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</si>
  <si>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</si>
  <si>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</si>
  <si>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</si>
  <si>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</si>
  <si>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</si>
  <si>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</si>
  <si>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</si>
  <si>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</si>
  <si>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</si>
  <si>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</si>
  <si>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</si>
  <si>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</si>
  <si>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</si>
  <si>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</si>
  <si>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</si>
  <si>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</si>
  <si>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</si>
  <si>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</si>
  <si>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</si>
  <si>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</si>
  <si>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</si>
  <si>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</si>
  <si>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</si>
  <si>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</si>
  <si>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</si>
  <si>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</si>
  <si>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</si>
  <si>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</si>
  <si>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</si>
  <si>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</si>
  <si>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</si>
  <si>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</si>
  <si>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</si>
  <si>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</si>
  <si>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</si>
  <si>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</si>
  <si>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</si>
  <si>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</si>
  <si>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</si>
  <si>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</si>
  <si>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</si>
  <si>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</si>
  <si>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</si>
  <si>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</si>
  <si>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</si>
  <si>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</si>
  <si>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</si>
  <si>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</si>
  <si>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</si>
  <si>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</si>
  <si>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</si>
  <si>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</si>
  <si>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</si>
  <si>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</si>
  <si>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</si>
  <si>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</si>
  <si>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</si>
  <si>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</si>
  <si>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</si>
  <si>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</si>
  <si>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</si>
  <si>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</si>
  <si>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</si>
  <si>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</si>
  <si>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</si>
  <si>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</si>
  <si>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</si>
  <si>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</si>
  <si>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</si>
  <si>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</si>
  <si>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</si>
  <si>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</si>
  <si>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</si>
  <si>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</si>
  <si>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</si>
  <si>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</si>
  <si>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</si>
  <si>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</si>
  <si>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</si>
  <si>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</si>
  <si>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</si>
  <si>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</si>
  <si>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</si>
  <si>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</si>
  <si>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</si>
  <si>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</si>
  <si>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</si>
  <si>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</si>
  <si>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</si>
  <si>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</si>
  <si>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</si>
  <si>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</si>
  <si>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</si>
  <si>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</si>
  <si>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</si>
  <si>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</si>
  <si>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</si>
  <si>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</si>
  <si>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</si>
  <si>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</si>
  <si>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</si>
  <si>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</si>
  <si>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</si>
  <si>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</si>
  <si>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</si>
  <si>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</si>
  <si>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</si>
  <si>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</si>
  <si>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</si>
  <si>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</si>
  <si>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</si>
  <si>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</si>
  <si>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</si>
  <si>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</si>
  <si>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</si>
  <si>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</si>
  <si>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</si>
  <si>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</si>
  <si>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</si>
  <si>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</si>
  <si>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</si>
  <si>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</si>
  <si>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</si>
  <si>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</si>
  <si>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</si>
  <si>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</si>
  <si>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</si>
  <si>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</si>
  <si>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</si>
  <si>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</si>
  <si>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</si>
  <si>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</si>
  <si>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</si>
  <si>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</si>
  <si>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</si>
  <si>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</si>
  <si>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</si>
  <si>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</si>
  <si>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</si>
  <si>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</si>
  <si>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</si>
  <si>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</si>
  <si>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</si>
  <si>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</si>
  <si>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</si>
  <si>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</si>
  <si>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</si>
  <si>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</si>
  <si>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</si>
  <si>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</si>
  <si>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</si>
  <si>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</si>
  <si>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</si>
  <si>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</si>
  <si>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</si>
  <si>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</si>
  <si>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</si>
  <si>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</si>
  <si>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</si>
  <si>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</si>
  <si>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</si>
  <si>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</si>
  <si>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</si>
  <si>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</si>
  <si>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</si>
  <si>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</si>
  <si>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</si>
  <si>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</si>
  <si>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</si>
  <si>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</si>
  <si>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</si>
  <si>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</si>
  <si>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</si>
  <si>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</si>
  <si>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</si>
  <si>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</si>
  <si>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</si>
  <si>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</si>
  <si>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</si>
  <si>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</si>
  <si>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</si>
  <si>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</si>
  <si>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</si>
  <si>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</si>
  <si>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</si>
  <si>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</si>
  <si>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</si>
  <si>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</si>
  <si>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</si>
  <si>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</si>
  <si>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</si>
  <si>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</si>
  <si>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</si>
  <si>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</si>
  <si>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</si>
  <si>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</si>
  <si>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</si>
  <si>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</si>
  <si>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</si>
  <si>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</si>
  <si>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</si>
  <si>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</si>
  <si>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</si>
  <si>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</si>
  <si>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</si>
  <si>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</si>
  <si>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</si>
  <si>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</si>
  <si>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</si>
  <si>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</si>
  <si>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</si>
  <si>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</si>
  <si>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</si>
  <si>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</si>
  <si>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</si>
  <si>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</si>
  <si>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</si>
  <si>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</si>
  <si>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</si>
  <si>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</si>
  <si>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</si>
  <si>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</si>
  <si>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</si>
  <si>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</si>
  <si>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</si>
  <si>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</si>
  <si>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</si>
  <si>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</si>
  <si>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</si>
  <si>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</si>
  <si>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</si>
  <si>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</si>
  <si>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</si>
  <si>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</si>
  <si>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</si>
  <si>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</si>
  <si>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</si>
  <si>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</si>
  <si>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</si>
  <si>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</si>
  <si>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</si>
  <si>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</si>
  <si>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</si>
  <si>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</si>
  <si>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</si>
  <si>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</si>
  <si>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</si>
  <si>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</si>
  <si>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</si>
  <si>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</si>
  <si>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</si>
  <si>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</si>
  <si>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</si>
  <si>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</si>
  <si>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</si>
  <si>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</si>
  <si>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</si>
  <si>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</si>
  <si>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</si>
  <si>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</si>
  <si>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</si>
  <si>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</si>
  <si>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</si>
  <si>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</si>
  <si>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</si>
  <si>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</si>
  <si>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</si>
  <si>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</si>
  <si>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</si>
  <si>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</si>
  <si>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</si>
  <si>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</si>
  <si>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</si>
  <si>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</si>
  <si>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</si>
  <si>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</si>
  <si>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</si>
  <si>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</si>
  <si>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</si>
  <si>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</si>
  <si>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</si>
  <si>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</si>
  <si>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</si>
  <si>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</si>
  <si>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</si>
  <si>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</si>
  <si>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</si>
  <si>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</si>
  <si>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</si>
  <si>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</si>
  <si>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</si>
  <si>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</si>
  <si>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</si>
  <si>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</si>
  <si>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</si>
  <si>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</si>
  <si>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</si>
  <si>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</si>
  <si>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</si>
  <si>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</si>
  <si>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</si>
  <si>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</si>
  <si>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</si>
  <si>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</si>
  <si>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</si>
  <si>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</si>
  <si>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</si>
  <si>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</si>
  <si>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</si>
  <si>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</si>
  <si>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</si>
  <si>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</si>
  <si>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</si>
  <si>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</si>
  <si>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</si>
  <si>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</si>
  <si>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</si>
  <si>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</si>
  <si>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</si>
  <si>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</si>
  <si>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</si>
  <si>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</si>
  <si>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</si>
  <si>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</si>
  <si>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</si>
  <si>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</si>
  <si>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</si>
  <si>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</si>
  <si>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</si>
  <si>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</si>
  <si>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</si>
  <si>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</si>
  <si>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</si>
  <si>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</si>
  <si>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</si>
  <si>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</si>
  <si>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</si>
  <si>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</si>
  <si>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</si>
  <si>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</si>
  <si>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</si>
  <si>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</si>
  <si>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</si>
  <si>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</si>
  <si>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</si>
  <si>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</si>
  <si>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</si>
  <si>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</si>
  <si>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</si>
  <si>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</si>
  <si>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</si>
  <si>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</si>
  <si>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</si>
  <si>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</si>
  <si>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</si>
  <si>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</si>
  <si>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</si>
  <si>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</si>
  <si>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</si>
  <si>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</si>
  <si>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</si>
  <si>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</si>
  <si>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</si>
  <si>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</si>
  <si>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</si>
  <si>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</si>
  <si>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</si>
  <si>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</si>
  <si>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</si>
  <si>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</si>
  <si>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</si>
  <si>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</si>
  <si>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</si>
  <si>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</si>
  <si>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</si>
  <si>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</si>
  <si>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</si>
  <si>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</si>
  <si>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</si>
  <si>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</si>
  <si>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</si>
  <si>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</si>
  <si>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</si>
  <si>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</si>
  <si>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</si>
  <si>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</si>
  <si>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</si>
  <si>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</si>
  <si>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</si>
  <si>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</si>
  <si>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</si>
  <si>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</si>
  <si>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</si>
  <si>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</si>
  <si>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</si>
  <si>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</si>
  <si>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</si>
  <si>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</si>
  <si>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</si>
  <si>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</si>
  <si>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</si>
  <si>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</si>
  <si>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</si>
  <si>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</si>
  <si>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</si>
  <si>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</si>
  <si>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</si>
  <si>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</si>
  <si>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</si>
  <si>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</si>
  <si>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</si>
  <si>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</si>
  <si>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</si>
  <si>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</si>
  <si>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</si>
  <si>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</si>
  <si>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</si>
  <si>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</si>
  <si>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</si>
  <si>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</si>
  <si>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</si>
  <si>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</si>
  <si>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</si>
  <si>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</si>
  <si>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</si>
  <si>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</si>
  <si>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</si>
  <si>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</si>
  <si>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</si>
  <si>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</si>
  <si>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</si>
  <si>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</si>
  <si>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</si>
  <si>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</si>
  <si>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</si>
  <si>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</si>
  <si>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</si>
  <si>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</si>
  <si>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</si>
  <si>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</si>
  <si>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</si>
  <si>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</si>
  <si>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</si>
  <si>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</si>
  <si>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</si>
  <si>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</si>
  <si>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</si>
  <si>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</si>
  <si>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</si>
  <si>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</si>
  <si>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</si>
  <si>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</si>
  <si>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</si>
  <si>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</si>
  <si>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</si>
  <si>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</si>
  <si>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</si>
  <si>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</si>
  <si>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</si>
  <si>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</si>
  <si>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</si>
  <si>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</si>
  <si>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</si>
  <si>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</si>
  <si>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</si>
  <si>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</si>
  <si>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</si>
  <si>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</si>
  <si>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</si>
  <si>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</si>
  <si>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</si>
  <si>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</si>
  <si>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</si>
  <si>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</si>
  <si>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</si>
  <si>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</si>
  <si>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</si>
  <si>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</si>
  <si>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</si>
  <si>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</si>
  <si>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</si>
  <si>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</si>
  <si>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</si>
  <si>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</si>
  <si>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</si>
  <si>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</si>
  <si>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</si>
  <si>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</si>
  <si>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</si>
  <si>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</si>
  <si>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</si>
  <si>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</si>
  <si>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</si>
  <si>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</si>
  <si>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</si>
  <si>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</si>
  <si>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</si>
  <si>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</si>
  <si>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</si>
  <si>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</si>
  <si>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</si>
  <si>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</si>
  <si>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</si>
  <si>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</si>
  <si>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</si>
  <si>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</si>
  <si>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</si>
  <si>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</si>
  <si>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</si>
  <si>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</si>
  <si>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</si>
  <si>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</si>
  <si>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</si>
  <si>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</si>
  <si>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</si>
  <si>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</si>
  <si>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</si>
  <si>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</si>
  <si>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</si>
  <si>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</si>
  <si>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</si>
  <si>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</si>
  <si>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</si>
  <si>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</si>
  <si>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</si>
  <si>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</si>
  <si>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</si>
  <si>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</si>
  <si>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</si>
  <si>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</si>
  <si>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</si>
  <si>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</si>
  <si>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</si>
  <si>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</si>
  <si>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</si>
  <si>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</si>
  <si>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</si>
  <si>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</si>
  <si>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</si>
  <si>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</si>
  <si>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</si>
  <si>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</si>
  <si>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</si>
  <si>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</si>
  <si>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</si>
  <si>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</si>
  <si>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</si>
  <si>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</si>
  <si>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</si>
  <si>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</si>
  <si>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</si>
  <si>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</si>
  <si>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</si>
  <si>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</si>
  <si>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</si>
  <si>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</si>
  <si>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</si>
  <si>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</si>
  <si>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</si>
  <si>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</si>
  <si>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</si>
  <si>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</si>
  <si>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</si>
  <si>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</si>
  <si>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</si>
  <si>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</si>
  <si>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</si>
  <si>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</si>
  <si>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</si>
  <si>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</si>
  <si>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</si>
  <si>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</si>
  <si>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</si>
  <si>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</si>
  <si>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</si>
  <si>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</si>
  <si>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</si>
  <si>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</si>
  <si>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</si>
  <si>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</si>
  <si>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</si>
  <si>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</si>
  <si>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</si>
  <si>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</si>
  <si>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</si>
  <si>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</si>
  <si>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</si>
  <si>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</si>
  <si>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</si>
  <si>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</si>
  <si>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</si>
  <si>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</si>
  <si>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</si>
  <si>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</si>
  <si>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</si>
  <si>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</si>
  <si>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</si>
  <si>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</si>
  <si>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</si>
  <si>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</si>
  <si>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</si>
  <si>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</si>
  <si>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</si>
  <si>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</si>
  <si>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</si>
  <si>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</si>
  <si>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</si>
  <si>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</si>
  <si>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</si>
  <si>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</si>
  <si>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</si>
  <si>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</si>
  <si>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</si>
  <si>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</si>
  <si>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</si>
  <si>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</si>
  <si>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</si>
  <si>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</si>
  <si>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</si>
  <si>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</si>
  <si>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</si>
  <si>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</si>
  <si>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</si>
  <si>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</si>
  <si>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</si>
  <si>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</si>
  <si>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</si>
  <si>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</si>
  <si>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</si>
  <si>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</si>
  <si>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</si>
  <si>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</si>
  <si>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</si>
  <si>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</si>
  <si>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</si>
  <si>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</si>
  <si>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</si>
  <si>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</si>
  <si>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</si>
  <si>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</si>
  <si>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</si>
  <si>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</si>
  <si>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</si>
  <si>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</si>
  <si>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</si>
  <si>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</si>
  <si>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</si>
  <si>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</si>
  <si>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</si>
  <si>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</si>
  <si>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</si>
  <si>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</si>
  <si>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</si>
  <si>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</si>
  <si>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</si>
  <si>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</si>
  <si>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</si>
  <si>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</si>
  <si>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</si>
  <si>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</si>
  <si>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</si>
  <si>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</si>
  <si>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</si>
  <si>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</si>
  <si>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</si>
  <si>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</si>
  <si>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</si>
  <si>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</si>
  <si>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</si>
  <si>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</si>
  <si>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</si>
  <si>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</si>
  <si>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</si>
  <si>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</si>
  <si>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</si>
  <si>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</si>
  <si>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</si>
  <si>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</si>
  <si>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</si>
  <si>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</si>
  <si>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</si>
  <si>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</si>
  <si>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</si>
  <si>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</si>
  <si>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</si>
  <si>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</si>
  <si>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</si>
  <si>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</si>
  <si>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</si>
  <si>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</si>
  <si>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</si>
  <si>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</si>
  <si>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</si>
  <si>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</si>
  <si>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</si>
  <si>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</si>
  <si>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</si>
  <si>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</si>
  <si>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</si>
  <si>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</si>
  <si>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</si>
  <si>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</si>
  <si>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</si>
  <si>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</si>
  <si>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</si>
  <si>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</si>
  <si>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</si>
  <si>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</si>
  <si>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</si>
  <si>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</si>
  <si>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</si>
  <si>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</si>
  <si>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</si>
  <si>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</si>
  <si>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</si>
  <si>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</si>
  <si>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</si>
  <si>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</si>
  <si>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</si>
  <si>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</si>
  <si>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</si>
  <si>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</si>
  <si>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</si>
  <si>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</si>
  <si>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</si>
  <si>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</si>
  <si>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</si>
  <si>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</si>
  <si>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</si>
  <si>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</si>
  <si>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</si>
  <si>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</si>
  <si>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</si>
  <si>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</si>
  <si>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</si>
  <si>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</si>
  <si>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</si>
  <si>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</si>
  <si>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</si>
  <si>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</si>
  <si>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</si>
  <si>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</si>
  <si>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</si>
  <si>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</si>
  <si>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</si>
  <si>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</si>
  <si>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</si>
  <si>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</si>
  <si>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</si>
  <si>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</si>
  <si>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</si>
  <si>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</si>
  <si>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</si>
  <si>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</si>
  <si>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</si>
  <si>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</si>
  <si>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</si>
  <si>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</si>
  <si>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</si>
  <si>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</si>
  <si>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</si>
  <si>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</si>
  <si>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</si>
  <si>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</si>
  <si>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</si>
  <si>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</si>
  <si>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</si>
  <si>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</si>
  <si>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</si>
  <si>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</si>
  <si>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</si>
  <si>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</si>
  <si>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</si>
  <si>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</si>
  <si>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</si>
  <si>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</si>
  <si>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</si>
  <si>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</si>
  <si>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</si>
  <si>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</si>
  <si>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</si>
  <si>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</si>
  <si>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</si>
  <si>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</si>
  <si>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</si>
  <si>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</si>
  <si>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</si>
  <si>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</si>
  <si>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</si>
  <si>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</si>
  <si>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</si>
  <si>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</si>
  <si>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</si>
  <si>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</si>
  <si>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</si>
  <si>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</si>
  <si>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</si>
  <si>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</si>
  <si>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</si>
  <si>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</si>
  <si>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</si>
  <si>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</si>
  <si>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</si>
  <si>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</si>
  <si>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</si>
  <si>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</si>
  <si>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</si>
  <si>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</si>
  <si>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</si>
  <si>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</si>
  <si>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</si>
  <si>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</si>
  <si>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</si>
  <si>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</si>
  <si>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</si>
  <si>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</si>
  <si>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</si>
  <si>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</si>
  <si>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</si>
  <si>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</si>
  <si>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</si>
  <si>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</si>
  <si>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</si>
  <si>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</si>
  <si>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</si>
  <si>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</si>
  <si>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</si>
  <si>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</si>
  <si>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</si>
  <si>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</si>
  <si>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</si>
  <si>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</si>
  <si>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</si>
  <si>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</si>
  <si>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</si>
  <si>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</si>
  <si>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</si>
  <si>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</si>
  <si>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</si>
  <si>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</si>
  <si>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</si>
  <si>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</si>
  <si>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</si>
  <si>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</si>
  <si>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</si>
  <si>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</si>
  <si>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</si>
  <si>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</si>
  <si>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</si>
  <si>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</si>
  <si>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</si>
  <si>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</si>
  <si>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</si>
  <si>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</si>
  <si>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</si>
  <si>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</si>
  <si>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</si>
  <si>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</si>
  <si>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</si>
  <si>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</si>
  <si>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</si>
  <si>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</si>
  <si>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</si>
  <si>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</si>
  <si>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</si>
  <si>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</si>
  <si>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</si>
  <si>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</si>
  <si>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</si>
  <si>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</si>
  <si>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</si>
  <si>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</si>
  <si>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</si>
  <si>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</si>
  <si>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</si>
  <si>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</si>
  <si>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</si>
  <si>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</si>
  <si>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</si>
  <si>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</si>
  <si>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</si>
  <si>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</si>
  <si>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</si>
  <si>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</si>
  <si>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</si>
  <si>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</si>
  <si>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</si>
  <si>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</si>
  <si>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</si>
  <si>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</si>
  <si>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</si>
  <si>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</si>
  <si>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</si>
  <si>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</si>
  <si>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</si>
  <si>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</si>
  <si>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</si>
  <si>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</si>
  <si>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</si>
  <si>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</si>
  <si>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</si>
  <si>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</si>
  <si>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</si>
  <si>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</si>
  <si>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</si>
  <si>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</si>
  <si>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</si>
  <si>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</si>
  <si>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</si>
  <si>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</si>
  <si>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</si>
  <si>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</si>
  <si>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</si>
  <si>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</si>
  <si>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</si>
  <si>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</si>
  <si>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</si>
  <si>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</si>
  <si>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</si>
  <si>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</si>
  <si>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</si>
  <si>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</si>
  <si>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</si>
  <si>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</si>
  <si>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</si>
  <si>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</si>
  <si>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</si>
  <si>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</si>
  <si>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</si>
  <si>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</si>
  <si>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</si>
  <si>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</si>
  <si>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</si>
  <si>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</si>
  <si>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</si>
  <si>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</si>
  <si>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</si>
  <si>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</si>
  <si>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</si>
  <si>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</si>
  <si>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</si>
  <si>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</si>
  <si>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</si>
  <si>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</si>
  <si>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</si>
  <si>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</si>
  <si>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</si>
  <si>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</si>
  <si>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</si>
  <si>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</si>
  <si>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</si>
  <si>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</si>
  <si>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</si>
  <si>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</si>
  <si>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</si>
  <si>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</si>
  <si>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</si>
  <si>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</si>
  <si>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</si>
  <si>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</si>
  <si>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</si>
  <si>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</si>
  <si>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</si>
  <si>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</si>
  <si>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</si>
  <si>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</si>
  <si>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</si>
  <si>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</si>
  <si>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</si>
  <si>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</si>
  <si>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</si>
  <si>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</si>
  <si>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</si>
  <si>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</si>
  <si>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</si>
  <si>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</si>
  <si>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</si>
  <si>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</si>
  <si>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</si>
  <si>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</si>
  <si>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</si>
  <si>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</si>
  <si>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</si>
  <si>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</si>
  <si>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</si>
  <si>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</si>
  <si>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</si>
  <si>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</si>
  <si>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</si>
  <si>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</si>
  <si>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</si>
  <si>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</si>
  <si>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</si>
  <si>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</si>
  <si>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</si>
  <si>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</si>
  <si>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</si>
  <si>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</si>
  <si>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</si>
  <si>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</si>
  <si>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</si>
  <si>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</si>
  <si>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</si>
  <si>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</si>
  <si>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</si>
  <si>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</si>
  <si>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</si>
  <si>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</si>
  <si>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</si>
  <si>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</si>
  <si>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</si>
  <si>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</si>
  <si>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</si>
  <si>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</si>
  <si>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</si>
  <si>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</si>
  <si>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</si>
  <si>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</si>
  <si>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</si>
  <si>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</si>
  <si>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</si>
  <si>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</si>
  <si>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</si>
  <si>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</si>
  <si>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</si>
  <si>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</si>
  <si>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</si>
  <si>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</si>
  <si>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</si>
  <si>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</si>
  <si>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</si>
  <si>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</si>
  <si>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</si>
  <si>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</si>
  <si>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</si>
  <si>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</si>
  <si>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</si>
  <si>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</si>
  <si>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</si>
  <si>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</si>
  <si>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</si>
  <si>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</si>
  <si>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</si>
  <si>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</si>
  <si>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</si>
  <si>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</si>
  <si>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</si>
  <si>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</si>
  <si>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</si>
  <si>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</si>
  <si>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</si>
  <si>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</si>
  <si>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</si>
  <si>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</si>
  <si>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</si>
  <si>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</si>
  <si>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</si>
  <si>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</si>
  <si>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</si>
  <si>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</si>
  <si>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</si>
  <si>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</si>
  <si>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</si>
  <si>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</si>
  <si>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</si>
  <si>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</si>
  <si>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</si>
  <si>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</si>
  <si>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</si>
  <si>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</si>
  <si>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</si>
  <si>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</si>
  <si>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</si>
  <si>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</si>
  <si>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</si>
  <si>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</si>
  <si>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</si>
  <si>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</si>
  <si>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</si>
  <si>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</si>
  <si>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</si>
  <si>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</si>
  <si>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</si>
  <si>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</si>
  <si>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</si>
  <si>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</si>
  <si>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</si>
  <si>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</si>
  <si>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</si>
  <si>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</si>
  <si>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</si>
  <si>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</si>
  <si>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</si>
  <si>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</si>
  <si>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</si>
  <si>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</si>
  <si>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</si>
  <si>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</si>
  <si>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</si>
  <si>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</si>
  <si>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</si>
  <si>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</si>
  <si>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</si>
  <si>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</si>
  <si>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</si>
  <si>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</si>
  <si>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</si>
  <si>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</si>
  <si>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</si>
  <si>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</si>
  <si>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</si>
  <si>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</si>
  <si>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</si>
  <si>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</si>
  <si>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</si>
  <si>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</si>
  <si>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</si>
  <si>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</si>
  <si>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</si>
  <si>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</si>
  <si>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</si>
  <si>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</si>
  <si>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</si>
  <si>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</si>
  <si>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</si>
  <si>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</si>
  <si>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</si>
  <si>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</si>
  <si>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</si>
  <si>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</si>
  <si>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</si>
  <si>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</si>
  <si>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</si>
  <si>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</si>
  <si>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</si>
  <si>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</si>
  <si>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</si>
  <si>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</si>
  <si>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</si>
  <si>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</si>
  <si>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</si>
  <si>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</si>
  <si>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</si>
  <si>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</si>
  <si>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</si>
  <si>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</si>
  <si>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</si>
  <si>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</si>
  <si>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</si>
  <si>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</si>
  <si>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</si>
  <si>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</si>
  <si>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</si>
  <si>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</si>
  <si>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</si>
  <si>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</si>
  <si>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</si>
  <si>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</si>
  <si>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</si>
  <si>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</si>
  <si>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</si>
  <si>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</si>
  <si>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</si>
  <si>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</si>
  <si>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</si>
  <si>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</si>
  <si>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</si>
  <si>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</si>
  <si>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</si>
  <si>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</si>
  <si>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</si>
  <si>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</si>
  <si>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</si>
  <si>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</si>
  <si>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</si>
  <si>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</si>
  <si>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</si>
  <si>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</si>
  <si>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</si>
  <si>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</si>
  <si>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</si>
  <si>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</si>
  <si>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</si>
  <si>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</si>
  <si>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</si>
  <si>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</si>
  <si>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</si>
  <si>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</si>
  <si>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</si>
  <si>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</si>
  <si>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</si>
  <si>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</si>
  <si>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</si>
  <si>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</si>
  <si>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</si>
  <si>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</si>
  <si>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</si>
  <si>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</si>
  <si>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</si>
  <si>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</si>
  <si>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</si>
  <si>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</si>
  <si>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</si>
  <si>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</si>
  <si>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</si>
  <si>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</si>
  <si>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</si>
  <si>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</si>
  <si>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</si>
  <si>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</si>
  <si>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</si>
  <si>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</si>
  <si>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</si>
  <si>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</si>
  <si>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</si>
  <si>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</si>
  <si>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</si>
  <si>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</si>
  <si>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</si>
  <si>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</si>
  <si>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</si>
  <si>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</si>
  <si>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</si>
  <si>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</si>
  <si>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</si>
  <si>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</si>
  <si>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</si>
  <si>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</si>
  <si>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</si>
  <si>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</si>
  <si>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</si>
  <si>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</si>
  <si>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</si>
  <si>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</si>
  <si>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</si>
  <si>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</si>
  <si>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</si>
  <si>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</si>
  <si>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</si>
  <si>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</si>
  <si>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</si>
  <si>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</si>
  <si>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</si>
  <si>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</si>
  <si>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</si>
  <si>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</si>
  <si>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</si>
  <si>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</si>
  <si>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</si>
  <si>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</si>
  <si>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</si>
  <si>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</si>
  <si>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</si>
  <si>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</si>
  <si>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</si>
  <si>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</si>
  <si>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</si>
  <si>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</si>
  <si>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</si>
  <si>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</si>
  <si>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</si>
  <si>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</si>
  <si>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</si>
  <si>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</si>
  <si>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</si>
  <si>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</si>
  <si>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</si>
  <si>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</si>
  <si>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</si>
  <si>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</si>
  <si>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</si>
  <si>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</si>
  <si>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</si>
  <si>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</si>
  <si>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</si>
  <si>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</si>
  <si>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</si>
  <si>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</si>
  <si>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</si>
  <si>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</si>
  <si>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</si>
  <si>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</si>
  <si>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</si>
  <si>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</si>
  <si>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</si>
  <si>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</si>
  <si>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</si>
  <si>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</si>
  <si>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</si>
  <si>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</si>
  <si>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</si>
  <si>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</si>
  <si>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</si>
  <si>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</si>
  <si>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</si>
  <si>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</si>
  <si>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</si>
  <si>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</si>
  <si>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</si>
  <si>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</si>
  <si>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</si>
  <si>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</si>
  <si>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</si>
  <si>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</si>
  <si>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</si>
  <si>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</si>
  <si>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</si>
  <si>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</si>
  <si>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</si>
  <si>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</si>
  <si>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</si>
  <si>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</si>
  <si>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</si>
  <si>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</si>
  <si>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</si>
  <si>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</si>
  <si>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</si>
  <si>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</si>
  <si>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</si>
  <si>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</si>
  <si>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</si>
  <si>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</si>
  <si>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</si>
  <si>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</si>
  <si>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</si>
  <si>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</si>
  <si>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</si>
  <si>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</si>
  <si>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</si>
  <si>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</si>
  <si>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</si>
  <si>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</si>
  <si>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</si>
  <si>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</si>
  <si>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</si>
  <si>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</si>
  <si>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</si>
  <si>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</si>
  <si>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</si>
  <si>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</si>
  <si>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</si>
  <si>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</si>
  <si>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</si>
  <si>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</si>
  <si>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</si>
  <si>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</si>
  <si>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</si>
  <si>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</si>
  <si>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</si>
  <si>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</si>
  <si>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</si>
  <si>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</si>
  <si>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</si>
  <si>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</si>
  <si>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</si>
  <si>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</si>
  <si>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</si>
  <si>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</si>
  <si>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</si>
  <si>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</si>
  <si>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</si>
  <si>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</si>
  <si>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</si>
  <si>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</si>
  <si>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</si>
  <si>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</si>
  <si>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</si>
  <si>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</si>
  <si>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</si>
  <si>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</si>
  <si>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</si>
  <si>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</si>
  <si>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</si>
  <si>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</si>
  <si>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</si>
  <si>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</si>
  <si>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</si>
  <si>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</si>
  <si>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</si>
  <si>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</si>
  <si>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</si>
  <si>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</si>
  <si>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</si>
  <si>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</si>
  <si>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</si>
  <si>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</si>
  <si>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</si>
  <si>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</si>
  <si>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</si>
  <si>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</si>
  <si>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</si>
  <si>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</si>
  <si>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</si>
  <si>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</si>
  <si>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</si>
  <si>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</si>
  <si>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</si>
  <si>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</si>
  <si>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</si>
  <si>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</si>
  <si>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</si>
  <si>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</si>
  <si>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</si>
  <si>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</si>
  <si>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</si>
  <si>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</si>
  <si>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</si>
  <si>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</si>
  <si>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</si>
  <si>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</si>
  <si>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</si>
  <si>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</si>
  <si>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</si>
  <si>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</si>
  <si>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</si>
  <si>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</si>
  <si>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</si>
  <si>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</si>
  <si>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</si>
  <si>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</si>
  <si>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</si>
  <si>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</si>
  <si>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</si>
  <si>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</si>
  <si>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</si>
  <si>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</si>
  <si>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</si>
  <si>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</si>
  <si>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</si>
  <si>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</si>
  <si>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</si>
  <si>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</si>
  <si>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</si>
  <si>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</si>
  <si>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</si>
  <si>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</si>
  <si>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</si>
  <si>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</si>
  <si>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</si>
  <si>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</si>
  <si>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</si>
  <si>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</si>
  <si>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</si>
  <si>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</si>
  <si>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</si>
  <si>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</si>
  <si>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</si>
  <si>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</si>
  <si>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</si>
  <si>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</si>
  <si>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</si>
  <si>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</si>
  <si>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</si>
  <si>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</si>
  <si>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</si>
  <si>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</si>
  <si>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</si>
  <si>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</si>
  <si>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</si>
  <si>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</si>
  <si>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</si>
  <si>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</si>
  <si>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</si>
  <si>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</si>
  <si>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</si>
  <si>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</si>
  <si>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</si>
  <si>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</si>
  <si>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</si>
  <si>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</si>
  <si>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</si>
  <si>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</si>
  <si>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</si>
  <si>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</si>
  <si>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</si>
  <si>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</si>
  <si>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</si>
  <si>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</si>
  <si>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</si>
  <si>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</si>
  <si>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</si>
  <si>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</si>
  <si>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</si>
  <si>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</si>
  <si>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</si>
  <si>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</si>
  <si>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</si>
  <si>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</si>
  <si>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</si>
  <si>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</si>
  <si>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</si>
  <si>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</si>
  <si>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</si>
  <si>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</si>
  <si>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</si>
  <si>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</si>
  <si>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</si>
  <si>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</si>
  <si>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</si>
  <si>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</si>
  <si>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</si>
  <si>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</si>
  <si>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</si>
  <si>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</si>
  <si>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</si>
  <si>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</si>
  <si>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</si>
  <si>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</si>
  <si>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</si>
  <si>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</si>
  <si>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</si>
  <si>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</si>
  <si>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</si>
  <si>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</si>
  <si>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</si>
  <si>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</si>
  <si>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</si>
  <si>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</si>
  <si>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</si>
  <si>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</si>
  <si>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</si>
  <si>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</si>
  <si>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</si>
  <si>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</si>
  <si>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</si>
  <si>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</si>
  <si>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</si>
  <si>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</si>
  <si>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</si>
  <si>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</si>
  <si>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</si>
  <si>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</si>
  <si>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</si>
  <si>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</si>
  <si>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</si>
  <si>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</si>
  <si>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</si>
  <si>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</si>
  <si>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</si>
  <si>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</si>
  <si>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</si>
  <si>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</si>
  <si>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</si>
  <si>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</si>
  <si>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</si>
  <si>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</si>
  <si>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</si>
  <si>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</si>
  <si>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</si>
  <si>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</si>
  <si>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</si>
  <si>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</si>
  <si>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</si>
  <si>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</si>
  <si>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</si>
  <si>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</si>
  <si>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</si>
  <si>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</si>
  <si>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</si>
  <si>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</si>
  <si>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</si>
  <si>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</si>
  <si>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</si>
  <si>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</si>
  <si>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</si>
  <si>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</si>
  <si>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</si>
  <si>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</si>
  <si>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</si>
  <si>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</si>
  <si>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</si>
  <si>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</si>
  <si>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</si>
  <si>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</si>
  <si>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</si>
  <si>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</si>
  <si>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</si>
  <si>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</si>
  <si>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</si>
  <si>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</si>
  <si>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</si>
  <si>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</si>
  <si>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</si>
  <si>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</si>
  <si>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</si>
  <si>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</si>
  <si>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</si>
  <si>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</si>
  <si>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</si>
  <si>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</si>
  <si>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</si>
  <si>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</si>
  <si>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</si>
  <si>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</si>
  <si>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</si>
  <si>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</si>
  <si>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</si>
  <si>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</si>
  <si>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</si>
  <si>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</si>
  <si>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</si>
  <si>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</si>
  <si>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</si>
  <si>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</si>
  <si>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</si>
  <si>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</si>
  <si>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</si>
  <si>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</si>
  <si>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</si>
  <si>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</si>
  <si>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</si>
  <si>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</si>
  <si>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</si>
  <si>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</si>
  <si>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</si>
  <si>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</si>
  <si>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</si>
  <si>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</si>
  <si>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</si>
  <si>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</si>
  <si>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</si>
  <si>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</si>
  <si>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</si>
  <si>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</si>
  <si>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</si>
  <si>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</si>
  <si>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</si>
  <si>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</si>
  <si>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</si>
  <si>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</si>
  <si>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</si>
  <si>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</si>
  <si>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</si>
  <si>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</si>
  <si>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</si>
  <si>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</si>
  <si>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</si>
  <si>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</si>
  <si>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</si>
  <si>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</si>
  <si>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</si>
  <si>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</si>
  <si>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</si>
  <si>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</si>
  <si>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</si>
  <si>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</si>
  <si>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</si>
  <si>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</si>
  <si>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</si>
  <si>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</si>
  <si>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</si>
  <si>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</si>
  <si>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</si>
  <si>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</si>
  <si>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</si>
  <si>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</si>
  <si>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</si>
  <si>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</si>
  <si>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</si>
  <si>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</si>
  <si>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</si>
  <si>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</si>
  <si>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</si>
  <si>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</si>
  <si>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</si>
  <si>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</si>
  <si>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</si>
  <si>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</si>
  <si>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</si>
  <si>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</si>
  <si>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</si>
  <si>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</si>
  <si>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</si>
  <si>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</si>
  <si>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</si>
  <si>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</si>
  <si>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</si>
  <si>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</si>
  <si>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</si>
  <si>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</si>
  <si>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</si>
  <si>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</si>
  <si>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</si>
  <si>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</si>
  <si>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</si>
  <si>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</si>
  <si>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</si>
  <si>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</si>
  <si>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</si>
  <si>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</si>
  <si>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</si>
  <si>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</si>
  <si>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</si>
  <si>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</si>
  <si>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</si>
  <si>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</si>
  <si>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</si>
  <si>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</si>
  <si>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</si>
  <si>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</si>
  <si>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</si>
  <si>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</si>
  <si>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</si>
  <si>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</si>
  <si>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</si>
  <si>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</si>
  <si>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</si>
  <si>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</si>
  <si>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</si>
  <si>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</si>
  <si>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</si>
  <si>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</si>
  <si>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</si>
  <si>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</si>
  <si>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</si>
  <si>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</si>
  <si>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</si>
  <si>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</si>
  <si>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</si>
  <si>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</si>
  <si>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</si>
  <si>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</si>
  <si>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</si>
  <si>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</si>
  <si>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</si>
  <si>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</si>
  <si>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</si>
  <si>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</si>
  <si>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</si>
  <si>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</si>
  <si>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</si>
  <si>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</si>
  <si>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</si>
  <si>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</si>
  <si>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</si>
  <si>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</si>
  <si>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</si>
  <si>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</si>
  <si>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</si>
  <si>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</si>
  <si>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</si>
  <si>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</si>
  <si>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</si>
  <si>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</si>
  <si>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</si>
  <si>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</si>
  <si>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</si>
  <si>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</si>
  <si>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</si>
  <si>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</si>
  <si>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</si>
  <si>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</si>
  <si>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</si>
  <si>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</si>
  <si>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</si>
  <si>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</si>
  <si>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</si>
  <si>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</si>
  <si>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</si>
  <si>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</si>
  <si>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</si>
  <si>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</si>
  <si>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</si>
  <si>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</si>
  <si>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</si>
  <si>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</si>
  <si>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</si>
  <si>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</si>
  <si>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</si>
  <si>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</si>
  <si>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</si>
  <si>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</si>
  <si>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</si>
  <si>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</si>
  <si>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</si>
  <si>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</si>
  <si>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</si>
  <si>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</si>
  <si>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</si>
  <si>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</si>
  <si>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</si>
  <si>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</si>
  <si>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</si>
  <si>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</si>
  <si>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</si>
  <si>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</si>
  <si>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</si>
  <si>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</si>
  <si>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</si>
  <si>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</si>
  <si>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</si>
  <si>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</si>
  <si>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</si>
  <si>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</si>
  <si>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</si>
  <si>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</si>
  <si>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</si>
  <si>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</si>
  <si>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</si>
  <si>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</si>
  <si>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</si>
  <si>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</si>
  <si>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</si>
  <si>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</si>
  <si>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</si>
  <si>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</si>
  <si>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</si>
  <si>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</si>
  <si>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</si>
  <si>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</si>
  <si>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</si>
  <si>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</si>
  <si>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</si>
  <si>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</si>
  <si>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</si>
  <si>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</si>
  <si>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</si>
  <si>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</si>
  <si>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</si>
  <si>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</si>
  <si>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</si>
  <si>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</si>
  <si>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</si>
  <si>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</si>
  <si>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</si>
  <si>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</si>
  <si>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</si>
  <si>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</si>
  <si>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</si>
  <si>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</si>
  <si>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</si>
  <si>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</si>
  <si>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</si>
  <si>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</si>
  <si>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</si>
  <si>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</si>
  <si>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</si>
  <si>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</si>
  <si>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</si>
  <si>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</si>
  <si>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</si>
  <si>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</si>
  <si>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</si>
  <si>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</si>
  <si>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</si>
  <si>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</si>
  <si>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</si>
  <si>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</si>
  <si>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</si>
  <si>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</si>
  <si>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</si>
  <si>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</si>
  <si>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</si>
  <si>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</si>
  <si>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</si>
  <si>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</si>
  <si>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</si>
  <si>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</si>
  <si>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</si>
  <si>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</si>
  <si>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</si>
  <si>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</si>
  <si>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</si>
  <si>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</si>
  <si>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</si>
  <si>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</si>
  <si>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</si>
  <si>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</si>
  <si>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</si>
  <si>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</si>
  <si>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</si>
  <si>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</si>
  <si>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</si>
  <si>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</si>
  <si>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</si>
  <si>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</si>
  <si>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</si>
  <si>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</si>
  <si>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</si>
  <si>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</si>
  <si>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</si>
  <si>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</si>
  <si>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</si>
  <si>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</si>
  <si>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</si>
  <si>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</si>
  <si>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</si>
  <si>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</si>
  <si>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</si>
  <si>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</si>
  <si>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</si>
  <si>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</si>
  <si>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</si>
  <si>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</si>
  <si>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</si>
  <si>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</si>
  <si>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</si>
  <si>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</si>
  <si>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</si>
  <si>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</si>
  <si>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</si>
  <si>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</si>
  <si>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</si>
  <si>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</si>
  <si>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</si>
  <si>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</si>
  <si>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</si>
  <si>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</si>
  <si>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</si>
  <si>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</si>
  <si>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</si>
  <si>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</si>
  <si>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</si>
  <si>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</si>
  <si>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</si>
  <si>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</si>
  <si>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</si>
  <si>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</si>
  <si>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</si>
  <si>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</si>
  <si>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</si>
  <si>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</si>
  <si>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</si>
  <si>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</si>
  <si>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</si>
  <si>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</si>
  <si>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</si>
  <si>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</si>
  <si>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</si>
  <si>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</si>
  <si>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</si>
  <si>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</si>
  <si>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</si>
  <si>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</si>
  <si>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</si>
  <si>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</si>
  <si>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</si>
  <si>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</si>
  <si>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</si>
  <si>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</si>
  <si>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</si>
  <si>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</si>
  <si>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</si>
  <si>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</si>
  <si>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</si>
  <si>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</si>
  <si>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</si>
  <si>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</si>
  <si>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</si>
  <si>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</si>
  <si>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</si>
  <si>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</si>
  <si>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</si>
  <si>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</si>
  <si>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</si>
  <si>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</si>
  <si>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</si>
  <si>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</si>
  <si>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</si>
  <si>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</si>
  <si>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</si>
  <si>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</si>
  <si>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</si>
  <si>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</si>
  <si>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</si>
  <si>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</si>
  <si>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</si>
  <si>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</si>
  <si>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</si>
  <si>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</si>
  <si>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</si>
  <si>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</si>
  <si>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</si>
  <si>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</si>
  <si>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</si>
  <si>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</si>
  <si>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</si>
  <si>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</si>
  <si>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</si>
  <si>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</si>
  <si>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</si>
  <si>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</si>
  <si>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</si>
  <si>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</si>
  <si>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</si>
  <si>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</si>
  <si>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</si>
  <si>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</si>
  <si>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</si>
  <si>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</si>
  <si>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</si>
  <si>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</si>
  <si>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</si>
  <si>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</si>
  <si>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</si>
  <si>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</si>
  <si>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</si>
  <si>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</si>
  <si>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</si>
  <si>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</si>
  <si>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</si>
  <si>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</si>
  <si>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</si>
  <si>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</si>
  <si>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</si>
  <si>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</si>
  <si>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</si>
  <si>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</si>
  <si>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</si>
  <si>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</si>
  <si>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</si>
  <si>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</si>
  <si>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</si>
  <si>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</si>
  <si>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</si>
  <si>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</si>
  <si>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</si>
  <si>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</si>
  <si>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</si>
  <si>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</si>
  <si>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</si>
  <si>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</si>
  <si>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</si>
  <si>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</si>
  <si>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</si>
  <si>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</si>
  <si>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</si>
  <si>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</si>
  <si>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</si>
  <si>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</si>
  <si>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</si>
  <si>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</si>
  <si>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</si>
  <si>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</si>
  <si>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</si>
  <si>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</si>
  <si>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</si>
  <si>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</si>
  <si>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</si>
  <si>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</si>
  <si>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</si>
  <si>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</si>
  <si>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</si>
  <si>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</si>
  <si>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</si>
  <si>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</si>
  <si>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</si>
  <si>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</si>
  <si>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</si>
  <si>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</si>
  <si>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</si>
  <si>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</si>
  <si>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</si>
  <si>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</si>
  <si>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</si>
  <si>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</si>
  <si>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</si>
  <si>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</si>
  <si>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</si>
  <si>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</si>
  <si>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</si>
  <si>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</si>
  <si>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</si>
  <si>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</si>
  <si>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</si>
  <si>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</si>
  <si>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</si>
  <si>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</si>
  <si>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</si>
  <si>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</si>
  <si>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</si>
  <si>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</si>
  <si>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</si>
  <si>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</si>
  <si>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</si>
  <si>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</si>
  <si>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</si>
  <si>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</si>
  <si>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</si>
  <si>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</si>
  <si>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</si>
  <si>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</si>
  <si>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</si>
  <si>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</si>
  <si>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</si>
  <si>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</si>
  <si>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</si>
  <si>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</si>
  <si>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</si>
  <si>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</si>
  <si>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</si>
  <si>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</si>
  <si>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</si>
  <si>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</si>
  <si>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</si>
  <si>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</si>
  <si>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</si>
  <si>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</si>
  <si>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</si>
  <si>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</si>
  <si>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</si>
  <si>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</si>
  <si>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</si>
  <si>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</si>
  <si>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</si>
  <si>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</si>
  <si>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</si>
  <si>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</si>
  <si>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</si>
  <si>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</si>
  <si>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</si>
  <si>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</si>
  <si>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</si>
  <si>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</si>
  <si>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</si>
  <si>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</si>
  <si>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</si>
  <si>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</si>
  <si>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</si>
  <si>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</si>
  <si>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</si>
  <si>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</si>
  <si>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</si>
  <si>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</si>
  <si>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</si>
  <si>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</si>
  <si>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</si>
  <si>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</si>
  <si>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</si>
  <si>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</si>
  <si>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</si>
  <si>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</si>
  <si>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</si>
  <si>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</si>
  <si>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</si>
  <si>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</si>
  <si>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</si>
  <si>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</si>
  <si>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</si>
  <si>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</si>
  <si>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</si>
  <si>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</si>
  <si>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</si>
  <si>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</si>
  <si>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</si>
  <si>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</si>
  <si>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</si>
  <si>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</si>
  <si>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</si>
  <si>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</si>
  <si>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</si>
  <si>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</si>
  <si>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</si>
  <si>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</si>
  <si>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</si>
  <si>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</si>
  <si>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</si>
  <si>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</si>
  <si>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</si>
  <si>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</si>
  <si>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</si>
  <si>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</si>
  <si>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</si>
  <si>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</si>
  <si>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</si>
  <si>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</si>
  <si>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</si>
  <si>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</si>
  <si>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</si>
  <si>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</si>
  <si>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</si>
  <si>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</si>
  <si>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</si>
  <si>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</si>
  <si>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</si>
  <si>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</si>
  <si>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</si>
  <si>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</si>
  <si>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</si>
  <si>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</si>
  <si>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</si>
  <si>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</si>
  <si>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</si>
  <si>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</si>
  <si>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</si>
  <si>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</si>
  <si>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</si>
  <si>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</si>
  <si>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</si>
  <si>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</si>
  <si>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</si>
  <si>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</si>
  <si>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</si>
  <si>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</si>
  <si>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</si>
  <si>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</si>
  <si>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</si>
  <si>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</si>
  <si>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</si>
  <si>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</si>
  <si>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</si>
  <si>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</si>
  <si>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</si>
  <si>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</si>
  <si>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</si>
  <si>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</si>
  <si>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</si>
  <si>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</si>
  <si>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</si>
  <si>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</si>
  <si>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</si>
  <si>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</si>
  <si>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</si>
  <si>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</si>
  <si>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</si>
  <si>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</si>
  <si>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</si>
  <si>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</si>
  <si>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</si>
  <si>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</si>
  <si>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</si>
  <si>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</si>
  <si>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</si>
  <si>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</si>
  <si>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</si>
  <si>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</si>
  <si>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</si>
  <si>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</si>
  <si>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</si>
  <si>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</si>
  <si>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</si>
  <si>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</si>
  <si>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</si>
  <si>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</si>
  <si>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</si>
  <si>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</si>
  <si>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</si>
  <si>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</si>
  <si>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</si>
  <si>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</si>
  <si>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</si>
  <si>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</si>
  <si>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</si>
  <si>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</si>
  <si>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</si>
  <si>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</si>
  <si>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</si>
  <si>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</si>
  <si>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</si>
  <si>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</si>
  <si>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</si>
  <si>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</si>
  <si>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</si>
  <si>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</si>
  <si>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</si>
  <si>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</si>
  <si>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</si>
  <si>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</si>
  <si>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</si>
  <si>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</si>
  <si>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</si>
  <si>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</si>
  <si>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</si>
  <si>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</si>
  <si>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</si>
  <si>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</si>
  <si>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</si>
  <si>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</si>
  <si>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</si>
  <si>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</si>
  <si>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</si>
  <si>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</si>
  <si>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</si>
  <si>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</si>
  <si>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</si>
  <si>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</si>
  <si>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</si>
  <si>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</si>
  <si>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</si>
  <si>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</si>
  <si>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</si>
  <si>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</si>
  <si>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</si>
  <si>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</si>
  <si>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</si>
  <si>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</si>
  <si>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</si>
  <si>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</si>
  <si>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</si>
  <si>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</si>
  <si>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</si>
  <si>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</si>
  <si>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</si>
  <si>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</si>
  <si>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</si>
  <si>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</si>
  <si>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</si>
  <si>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</si>
  <si>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</si>
  <si>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</si>
  <si>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</si>
  <si>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</si>
  <si>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</si>
  <si>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</si>
  <si>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</si>
  <si>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</si>
  <si>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</si>
  <si>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</si>
  <si>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</si>
  <si>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</si>
  <si>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</si>
  <si>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</si>
  <si>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</si>
  <si>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</si>
  <si>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</si>
  <si>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</si>
  <si>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</si>
  <si>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</si>
  <si>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</si>
  <si>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</si>
  <si>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</si>
  <si>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</si>
  <si>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</si>
  <si>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</si>
  <si>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</si>
  <si>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</si>
  <si>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</si>
  <si>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</si>
  <si>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</si>
  <si>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</si>
  <si>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</si>
  <si>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</si>
  <si>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</si>
  <si>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</si>
  <si>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</si>
  <si>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</si>
  <si>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</si>
  <si>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</si>
  <si>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</si>
  <si>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</si>
  <si>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</si>
  <si>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</si>
  <si>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</si>
  <si>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</si>
  <si>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</si>
  <si>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</si>
  <si>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</si>
  <si>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</si>
  <si>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</si>
  <si>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</si>
  <si>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</si>
  <si>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</si>
  <si>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</si>
  <si>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</si>
  <si>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</si>
  <si>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</si>
  <si>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</si>
  <si>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</si>
  <si>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</si>
  <si>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</si>
  <si>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</si>
  <si>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</si>
  <si>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</si>
  <si>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</si>
  <si>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</si>
  <si>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</si>
  <si>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</si>
  <si>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</si>
  <si>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</si>
  <si>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</si>
  <si>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</si>
  <si>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</si>
  <si>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</si>
  <si>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</si>
  <si>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</si>
  <si>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</si>
  <si>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</si>
  <si>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</si>
  <si>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</si>
  <si>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</si>
  <si>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</si>
  <si>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</si>
  <si>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</si>
  <si>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</si>
  <si>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</si>
  <si>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</si>
  <si>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</si>
  <si>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</si>
  <si>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</si>
  <si>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</si>
  <si>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</si>
  <si>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</si>
  <si>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</si>
  <si>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</si>
  <si>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</si>
  <si>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</si>
  <si>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</si>
  <si>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</si>
  <si>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</si>
  <si>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</si>
  <si>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</si>
  <si>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</si>
  <si>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</si>
  <si>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</si>
  <si>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</si>
  <si>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</si>
  <si>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</si>
  <si>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</si>
  <si>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</si>
  <si>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</si>
  <si>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</si>
  <si>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</si>
  <si>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</si>
  <si>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</si>
  <si>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</si>
  <si>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</si>
  <si>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</si>
  <si>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</si>
  <si>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</si>
  <si>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</si>
  <si>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</si>
  <si>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</si>
  <si>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</si>
  <si>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</si>
  <si>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</si>
  <si>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</si>
  <si>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</si>
  <si>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</si>
  <si>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</si>
  <si>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</si>
  <si>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</si>
  <si>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</si>
  <si>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</si>
  <si>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</si>
  <si>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</si>
  <si>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</si>
  <si>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</si>
  <si>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</si>
  <si>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</si>
  <si>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</si>
  <si>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</si>
  <si>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</si>
  <si>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</si>
  <si>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</si>
  <si>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</si>
  <si>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</si>
  <si>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</si>
  <si>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</si>
  <si>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</si>
  <si>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</si>
  <si>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</si>
  <si>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</si>
  <si>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</si>
  <si>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</si>
  <si>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</si>
  <si>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</si>
  <si>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</si>
  <si>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</si>
  <si>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</si>
  <si>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</si>
  <si>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</si>
  <si>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</si>
  <si>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</si>
  <si>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</si>
  <si>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</si>
  <si>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</si>
  <si>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</si>
  <si>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</si>
  <si>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</si>
  <si>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</si>
  <si>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</si>
  <si>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</si>
  <si>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</si>
  <si>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</si>
  <si>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</si>
  <si>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</si>
  <si>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</si>
  <si>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</si>
  <si>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</si>
  <si>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</si>
  <si>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</si>
  <si>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</si>
  <si>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</si>
  <si>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</si>
  <si>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</si>
  <si>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</si>
  <si>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</si>
  <si>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</si>
  <si>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</si>
  <si>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</si>
  <si>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</si>
  <si>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</si>
  <si>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</si>
  <si>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</si>
  <si>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</si>
  <si>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</si>
  <si>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</si>
  <si>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</si>
  <si>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</si>
  <si>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</si>
  <si>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</si>
  <si>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</si>
  <si>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</si>
  <si>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</si>
  <si>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</si>
  <si>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</si>
  <si>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</si>
  <si>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</si>
  <si>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</si>
  <si>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</si>
  <si>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</si>
  <si>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</si>
  <si>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</si>
  <si>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</si>
  <si>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</si>
  <si>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</si>
  <si>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</si>
  <si>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</si>
  <si>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</si>
  <si>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</si>
  <si>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</si>
  <si>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</si>
  <si>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</si>
  <si>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</si>
  <si>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</si>
  <si>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</si>
  <si>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</si>
  <si>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</si>
  <si>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</si>
  <si>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</si>
  <si>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</si>
  <si>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</si>
  <si>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</si>
  <si>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</si>
  <si>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</si>
  <si>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</si>
  <si>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</si>
  <si>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</si>
  <si>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</si>
  <si>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</si>
  <si>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</si>
  <si>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</si>
  <si>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</si>
  <si>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</si>
  <si>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</si>
  <si>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</si>
  <si>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</si>
  <si>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</si>
  <si>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</si>
  <si>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</si>
  <si>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</si>
  <si>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</si>
  <si>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</si>
  <si>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</si>
  <si>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</si>
  <si>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</si>
  <si>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</si>
  <si>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</si>
  <si>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</si>
  <si>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</si>
  <si>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</si>
  <si>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</si>
  <si>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</si>
  <si>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</si>
  <si>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</si>
  <si>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</si>
  <si>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</si>
  <si>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</si>
  <si>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</si>
  <si>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</si>
  <si>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</si>
  <si>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</si>
  <si>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</si>
  <si>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</si>
  <si>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</si>
  <si>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</si>
  <si>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</si>
  <si>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</si>
  <si>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</si>
  <si>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</si>
  <si>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</si>
  <si>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</si>
  <si>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</si>
  <si>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</si>
  <si>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</si>
  <si>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</si>
  <si>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</si>
  <si>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</si>
  <si>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</si>
  <si>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</si>
  <si>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</si>
  <si>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</si>
  <si>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</si>
  <si>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</si>
  <si>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</si>
  <si>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</si>
  <si>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</si>
  <si>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</si>
  <si>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</si>
  <si>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</si>
  <si>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</si>
  <si>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</si>
  <si>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</si>
  <si>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</si>
  <si>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</si>
  <si>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</si>
  <si>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</si>
  <si>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</si>
  <si>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</si>
  <si>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</si>
  <si>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</si>
  <si>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</si>
  <si>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</si>
  <si>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</si>
  <si>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</si>
  <si>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</si>
  <si>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</si>
  <si>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</si>
  <si>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</si>
  <si>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</si>
  <si>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</si>
  <si>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</si>
  <si>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</si>
  <si>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</si>
  <si>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</si>
  <si>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</si>
  <si>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</si>
  <si>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</si>
  <si>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</si>
  <si>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</si>
  <si>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</si>
  <si>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</si>
  <si>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</si>
  <si>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</si>
  <si>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</si>
  <si>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</si>
  <si>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</si>
  <si>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</si>
  <si>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</si>
  <si>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</si>
  <si>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</si>
  <si>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</si>
  <si>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</si>
  <si>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</si>
  <si>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</si>
  <si>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</si>
  <si>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</si>
  <si>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</si>
  <si>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</si>
  <si>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</si>
  <si>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</si>
  <si>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</si>
  <si>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</si>
  <si>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</si>
  <si>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</si>
  <si>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</si>
  <si>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</si>
  <si>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</si>
  <si>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</si>
  <si>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</si>
  <si>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</si>
  <si>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</si>
  <si>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</si>
  <si>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</si>
  <si>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</si>
  <si>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</si>
  <si>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</si>
  <si>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</si>
  <si>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</si>
  <si>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</si>
  <si>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</si>
  <si>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</si>
  <si>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</si>
  <si>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</si>
  <si>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</si>
  <si>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</si>
  <si>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</si>
  <si>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</si>
  <si>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</si>
  <si>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</si>
  <si>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</si>
  <si>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</si>
  <si>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</si>
  <si>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</si>
  <si>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</si>
  <si>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</si>
  <si>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</si>
  <si>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</si>
  <si>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</si>
  <si>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</si>
  <si>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</si>
  <si>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</si>
  <si>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</si>
  <si>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</si>
  <si>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</si>
  <si>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</si>
  <si>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</si>
  <si>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</si>
  <si>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</si>
  <si>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</si>
  <si>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</si>
  <si>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</si>
  <si>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</si>
  <si>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</si>
  <si>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</si>
  <si>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</si>
  <si>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</si>
  <si>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</si>
  <si>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</si>
  <si>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</si>
  <si>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</si>
  <si>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</si>
  <si>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</si>
  <si>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</si>
  <si>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</si>
  <si>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</si>
  <si>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</si>
  <si>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</si>
  <si>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</si>
  <si>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</si>
  <si>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</si>
  <si>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</si>
  <si>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</si>
  <si>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</si>
  <si>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</si>
  <si>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</si>
  <si>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</si>
  <si>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</si>
  <si>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</si>
  <si>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</si>
  <si>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</si>
  <si>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</si>
  <si>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</si>
  <si>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</si>
  <si>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</si>
  <si>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</si>
  <si>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</si>
  <si>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</si>
  <si>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</si>
  <si>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</si>
  <si>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</si>
  <si>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</si>
  <si>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</si>
  <si>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</si>
  <si>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</si>
  <si>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</si>
  <si>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</si>
  <si>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</si>
  <si>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</si>
  <si>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</si>
  <si>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</si>
  <si>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</si>
  <si>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</si>
  <si>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</si>
  <si>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</si>
  <si>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</si>
  <si>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</si>
  <si>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</si>
  <si>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</si>
  <si>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</si>
  <si>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</si>
  <si>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</si>
  <si>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</si>
  <si>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</si>
  <si>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</si>
  <si>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</si>
  <si>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</si>
  <si>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</si>
  <si>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</si>
  <si>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</si>
  <si>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</si>
  <si>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</si>
  <si>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</si>
  <si>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</si>
  <si>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</si>
  <si>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</si>
  <si>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</si>
  <si>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</si>
  <si>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</si>
  <si>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</si>
  <si>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</si>
  <si>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</si>
  <si>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</si>
  <si>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</si>
  <si>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</si>
  <si>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</si>
  <si>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</si>
  <si>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</si>
  <si>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</si>
  <si>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</si>
  <si>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</si>
  <si>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</si>
  <si>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</si>
  <si>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</si>
  <si>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</si>
  <si>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</si>
  <si>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</si>
  <si>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</si>
  <si>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</si>
  <si>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</si>
  <si>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</si>
  <si>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</si>
  <si>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</si>
  <si>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</si>
  <si>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</si>
  <si>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</si>
  <si>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</si>
  <si>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</si>
  <si>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</si>
  <si>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</si>
  <si>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</si>
  <si>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</si>
  <si>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</si>
  <si>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</si>
  <si>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</si>
  <si>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</si>
  <si>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</si>
  <si>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</si>
  <si>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</si>
  <si>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</si>
  <si>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</si>
  <si>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</si>
  <si>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</si>
  <si>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</si>
  <si>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</si>
  <si>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</si>
  <si>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</si>
  <si>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</si>
  <si>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</si>
  <si>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</si>
  <si>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</si>
  <si>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</si>
  <si>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</si>
  <si>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</si>
  <si>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</si>
  <si>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</si>
  <si>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</si>
  <si>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</si>
  <si>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</si>
  <si>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</si>
  <si>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</si>
  <si>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</si>
  <si>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</si>
  <si>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</si>
  <si>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</si>
  <si>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</si>
  <si>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</si>
  <si>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</si>
  <si>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</si>
  <si>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</si>
  <si>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</si>
  <si>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</si>
  <si>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</si>
  <si>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</si>
  <si>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</si>
  <si>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</si>
  <si>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</si>
  <si>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</si>
  <si>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</si>
  <si>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</si>
  <si>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</si>
  <si>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</si>
  <si>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</si>
  <si>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</si>
  <si>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</si>
  <si>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</si>
  <si>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</si>
  <si>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</si>
  <si>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</si>
  <si>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</si>
  <si>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</si>
  <si>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</si>
  <si>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</si>
  <si>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</si>
  <si>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</si>
  <si>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</si>
  <si>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</si>
  <si>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</si>
  <si>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</si>
  <si>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</si>
  <si>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</si>
  <si>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</si>
  <si>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</si>
  <si>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</si>
  <si>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</si>
  <si>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</si>
  <si>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</si>
  <si>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</si>
  <si>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</si>
  <si>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</si>
  <si>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</si>
  <si>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</si>
  <si>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</si>
  <si>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</si>
  <si>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</si>
  <si>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</si>
  <si>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</si>
  <si>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</si>
  <si>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</si>
  <si>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</si>
  <si>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</si>
  <si>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</si>
  <si>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</si>
  <si>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</si>
  <si>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</si>
  <si>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</si>
  <si>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</si>
  <si>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</si>
  <si>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</si>
  <si>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</si>
  <si>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</si>
  <si>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</si>
  <si>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</si>
  <si>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</si>
  <si>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</si>
  <si>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</si>
  <si>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</si>
  <si>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</si>
  <si>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</si>
  <si>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</si>
  <si>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</si>
  <si>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</si>
  <si>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</si>
  <si>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</si>
  <si>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</si>
  <si>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</si>
  <si>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</si>
  <si>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</si>
  <si>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</si>
  <si>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</si>
  <si>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</si>
  <si>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</si>
  <si>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</si>
  <si>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</si>
  <si>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</si>
  <si>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</si>
  <si>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</si>
  <si>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</si>
  <si>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</si>
  <si>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</si>
  <si>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</si>
  <si>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</si>
  <si>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</si>
  <si>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</si>
  <si>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</si>
  <si>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</si>
  <si>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</si>
  <si>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</si>
  <si>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</si>
  <si>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</si>
  <si>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</si>
  <si>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</si>
  <si>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</si>
  <si>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</si>
  <si>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</si>
  <si>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</si>
  <si>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</si>
  <si>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</si>
  <si>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</si>
  <si>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</si>
  <si>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</si>
  <si>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</si>
  <si>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</si>
  <si>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</si>
  <si>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</si>
  <si>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</si>
  <si>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</si>
  <si>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</si>
  <si>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</si>
  <si>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</si>
  <si>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</si>
  <si>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</si>
  <si>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</si>
  <si>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</si>
  <si>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</si>
  <si>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</si>
  <si>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</si>
  <si>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</si>
  <si>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</si>
  <si>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</si>
  <si>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</si>
  <si>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</si>
  <si>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</si>
  <si>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</si>
  <si>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</si>
  <si>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</si>
  <si>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</si>
  <si>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</si>
  <si>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</si>
  <si>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</si>
  <si>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</si>
  <si>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</si>
  <si>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</si>
  <si>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</si>
  <si>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</si>
  <si>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</si>
  <si>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</si>
  <si>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</si>
  <si>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</si>
  <si>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</si>
  <si>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</si>
  <si>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</si>
  <si>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</si>
  <si>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</si>
  <si>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</si>
  <si>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</si>
  <si>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</si>
  <si>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</si>
  <si>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</si>
  <si>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</si>
  <si>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</si>
  <si>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</si>
  <si>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</si>
  <si>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</si>
  <si>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</si>
  <si>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</si>
  <si>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</si>
  <si>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</si>
  <si>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</si>
  <si>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</si>
  <si>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</si>
  <si>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</si>
  <si>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</si>
  <si>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</si>
  <si>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</si>
  <si>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</si>
  <si>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</si>
  <si>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</si>
  <si>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</si>
  <si>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</si>
  <si>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</si>
  <si>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</si>
  <si>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</si>
  <si>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</si>
  <si>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</si>
  <si>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</si>
  <si>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</si>
  <si>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</si>
  <si>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</si>
  <si>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</si>
  <si>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</si>
  <si>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</si>
  <si>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</si>
  <si>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</si>
  <si>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</si>
  <si>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</si>
  <si>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</si>
  <si>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</si>
  <si>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</si>
  <si>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</si>
  <si>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</si>
  <si>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</si>
  <si>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</si>
  <si>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</si>
  <si>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</si>
  <si>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</si>
  <si>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</si>
  <si>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</si>
  <si>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</si>
  <si>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</si>
  <si>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</si>
  <si>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</si>
  <si>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</si>
  <si>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</si>
  <si>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</si>
  <si>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</si>
  <si>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</si>
  <si>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</si>
  <si>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</si>
  <si>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</si>
  <si>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</si>
  <si>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</si>
  <si>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</si>
  <si>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</si>
  <si>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</si>
  <si>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</si>
  <si>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</si>
  <si>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</si>
  <si>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</si>
  <si>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</si>
  <si>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</si>
  <si>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</si>
  <si>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</si>
  <si>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</si>
  <si>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</si>
  <si>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</si>
  <si>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</si>
  <si>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</si>
  <si>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</si>
  <si>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</si>
  <si>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</si>
  <si>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</si>
  <si>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</si>
  <si>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</si>
  <si>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</si>
  <si>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</si>
  <si>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</si>
  <si>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</si>
  <si>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</si>
  <si>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</si>
  <si>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</si>
  <si>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</si>
  <si>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</si>
  <si>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</si>
  <si>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</si>
  <si>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</si>
  <si>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</si>
  <si>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</si>
  <si>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</si>
  <si>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</si>
  <si>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</si>
  <si>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</si>
  <si>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</si>
  <si>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</si>
  <si>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</si>
  <si>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</si>
  <si>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</si>
  <si>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</si>
  <si>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</si>
  <si>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</si>
  <si>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</si>
  <si>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</si>
  <si>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</si>
  <si>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</si>
  <si>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</si>
  <si>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</si>
  <si>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</si>
  <si>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</si>
  <si>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</si>
  <si>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</si>
  <si>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</si>
  <si>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</si>
  <si>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</si>
  <si>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</si>
  <si>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</si>
  <si>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</si>
  <si>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</si>
  <si>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</si>
  <si>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</si>
  <si>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</si>
  <si>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</si>
  <si>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</si>
  <si>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</si>
  <si>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</si>
  <si>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</si>
  <si>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</si>
  <si>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</si>
  <si>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</si>
  <si>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</si>
  <si>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</si>
  <si>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</si>
  <si>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</si>
  <si>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</si>
  <si>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</si>
  <si>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</si>
  <si>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</si>
  <si>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</si>
  <si>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</si>
  <si>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</si>
  <si>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</si>
  <si>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</si>
  <si>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</si>
  <si>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</si>
  <si>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</si>
  <si>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</si>
  <si>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</si>
  <si>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</si>
  <si>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</si>
  <si>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</si>
  <si>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</si>
  <si>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</si>
  <si>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</si>
  <si>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</si>
  <si>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</si>
  <si>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</si>
  <si>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</si>
  <si>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</si>
  <si>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</si>
  <si>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</si>
  <si>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</si>
  <si>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</si>
  <si>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</si>
  <si>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</si>
  <si>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</si>
  <si>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</si>
  <si>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</si>
  <si>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</si>
  <si>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</si>
  <si>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</si>
  <si>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</si>
  <si>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</si>
  <si>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</si>
  <si>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</si>
  <si>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</si>
  <si>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</si>
  <si>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</si>
  <si>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</si>
  <si>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</si>
  <si>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</si>
  <si>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</si>
  <si>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</si>
  <si>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</si>
  <si>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</si>
  <si>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</si>
  <si>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</si>
  <si>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</si>
  <si>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</si>
  <si>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</si>
  <si>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</si>
  <si>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</si>
  <si>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</si>
  <si>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</si>
  <si>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</si>
  <si>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</si>
  <si>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</si>
  <si>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</si>
  <si>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</si>
  <si>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</si>
  <si>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</si>
  <si>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</si>
  <si>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</si>
  <si>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</si>
  <si>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</si>
  <si>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</si>
  <si>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</si>
  <si>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</si>
  <si>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</si>
  <si>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</si>
  <si>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</si>
  <si>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</si>
  <si>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</si>
  <si>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</si>
  <si>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</si>
  <si>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</si>
  <si>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</si>
  <si>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</si>
  <si>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</si>
  <si>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</si>
  <si>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</si>
  <si>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</si>
  <si>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</si>
  <si>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</si>
  <si>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</si>
  <si>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</si>
  <si>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</si>
  <si>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</si>
  <si>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</si>
  <si>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</si>
  <si>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</si>
  <si>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</si>
  <si>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</si>
  <si>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</si>
  <si>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</si>
  <si>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</si>
  <si>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</si>
  <si>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</si>
  <si>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</si>
  <si>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</si>
  <si>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</si>
  <si>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</si>
  <si>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</si>
  <si>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</si>
  <si>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</si>
  <si>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</si>
  <si>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</si>
  <si>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</si>
  <si>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</si>
  <si>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</si>
  <si>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</si>
  <si>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</si>
  <si>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</si>
  <si>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</si>
  <si>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</si>
  <si>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</si>
  <si>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</si>
  <si>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</si>
  <si>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</si>
  <si>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</si>
  <si>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</si>
  <si>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</si>
  <si>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</si>
  <si>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</si>
  <si>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</si>
  <si>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</si>
  <si>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</si>
  <si>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</si>
  <si>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</si>
  <si>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</si>
  <si>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</si>
  <si>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</si>
  <si>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</si>
  <si>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</si>
  <si>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</si>
  <si>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</si>
  <si>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</si>
  <si>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</si>
  <si>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</si>
  <si>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</si>
  <si>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</si>
  <si>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</si>
  <si>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</si>
  <si>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</si>
  <si>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</si>
  <si>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</si>
  <si>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</si>
  <si>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</si>
  <si>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</si>
  <si>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</si>
  <si>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</si>
  <si>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</si>
  <si>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</si>
  <si>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</si>
  <si>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</si>
  <si>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</si>
  <si>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</si>
  <si>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</si>
  <si>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</si>
  <si>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</si>
  <si>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</si>
  <si>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</si>
  <si>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</si>
  <si>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</si>
  <si>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</si>
  <si>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</si>
  <si>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</si>
  <si>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</si>
  <si>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</si>
  <si>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</si>
  <si>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</si>
  <si>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</si>
  <si>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</si>
  <si>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</si>
  <si>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</si>
  <si>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</si>
  <si>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</si>
  <si>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</si>
  <si>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</si>
  <si>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</si>
  <si>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</si>
  <si>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</si>
  <si>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</si>
  <si>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</si>
  <si>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</si>
  <si>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</si>
  <si>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</si>
  <si>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</si>
  <si>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</si>
  <si>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</si>
  <si>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</si>
  <si>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</si>
  <si>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</si>
  <si>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</si>
  <si>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</si>
  <si>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</si>
  <si>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</si>
  <si>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</si>
  <si>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</si>
  <si>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</si>
  <si>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</si>
  <si>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</si>
  <si>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</si>
  <si>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</si>
  <si>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</si>
  <si>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</si>
  <si>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</si>
  <si>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</si>
  <si>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</si>
  <si>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</si>
  <si>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</si>
  <si>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</si>
  <si>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</si>
  <si>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</si>
  <si>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</si>
  <si>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</si>
  <si>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</si>
  <si>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</si>
  <si>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</si>
  <si>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</si>
  <si>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</si>
  <si>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</si>
  <si>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</si>
  <si>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</si>
  <si>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</si>
  <si>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</si>
  <si>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</si>
  <si>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</si>
  <si>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</si>
  <si>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</si>
  <si>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</si>
  <si>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</si>
  <si>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</si>
  <si>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</si>
  <si>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</si>
  <si>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</si>
  <si>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</si>
  <si>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</si>
  <si>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</si>
  <si>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</si>
  <si>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</si>
  <si>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</si>
  <si>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</si>
  <si>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</si>
  <si>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</si>
  <si>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</si>
  <si>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</si>
  <si>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</si>
  <si>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</si>
  <si>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</si>
  <si>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</si>
  <si>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</si>
  <si>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</si>
  <si>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</si>
  <si>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</si>
  <si>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</si>
  <si>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</si>
  <si>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</si>
  <si>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</si>
  <si>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</si>
  <si>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</si>
  <si>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</si>
  <si>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</si>
  <si>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</si>
  <si>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</si>
  <si>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</si>
  <si>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</si>
  <si>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</si>
  <si>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</si>
  <si>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</si>
  <si>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</si>
  <si>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</si>
  <si>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</si>
  <si>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</si>
  <si>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</si>
  <si>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</si>
  <si>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</si>
  <si>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</si>
  <si>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</si>
  <si>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</si>
  <si>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</si>
  <si>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</si>
  <si>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</si>
  <si>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</si>
  <si>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</si>
  <si>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</si>
  <si>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</si>
  <si>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</si>
  <si>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</si>
  <si>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</si>
  <si>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</si>
  <si>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</si>
  <si>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</si>
  <si>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</si>
  <si>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</si>
  <si>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</si>
  <si>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</si>
  <si>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</si>
  <si>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</si>
  <si>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</si>
  <si>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</si>
  <si>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</si>
  <si>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</si>
  <si>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</si>
  <si>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</si>
  <si>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</si>
  <si>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</si>
  <si>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</si>
  <si>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</si>
  <si>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</si>
  <si>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</si>
  <si>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</si>
  <si>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</si>
  <si>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</si>
  <si>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</si>
  <si>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</si>
  <si>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</si>
  <si>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</si>
  <si>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</si>
  <si>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</si>
  <si>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</si>
  <si>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</si>
  <si>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</si>
  <si>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</si>
  <si>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</si>
  <si>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</si>
  <si>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</si>
  <si>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</si>
  <si>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</si>
  <si>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</si>
  <si>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</si>
  <si>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</si>
  <si>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</si>
  <si>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</si>
  <si>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</si>
  <si>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</si>
  <si>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</si>
  <si>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</si>
  <si>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</si>
  <si>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</si>
  <si>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</si>
  <si>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</si>
  <si>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</si>
  <si>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</si>
  <si>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</si>
  <si>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</si>
  <si>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</si>
  <si>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</si>
  <si>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</si>
  <si>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</si>
  <si>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</si>
  <si>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</si>
  <si>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</si>
  <si>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</si>
  <si>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</si>
  <si>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</si>
  <si>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</si>
  <si>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</si>
  <si>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</si>
  <si>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</si>
  <si>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</si>
  <si>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</si>
  <si>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</si>
  <si>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</si>
  <si>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</si>
  <si>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</si>
  <si>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</si>
  <si>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</si>
  <si>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</si>
  <si>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</si>
  <si>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</si>
  <si>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</si>
  <si>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</si>
  <si>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</si>
  <si>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</si>
  <si>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</si>
  <si>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</si>
  <si>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</si>
  <si>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</si>
  <si>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</si>
  <si>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</si>
  <si>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</si>
  <si>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</si>
  <si>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</si>
  <si>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</si>
  <si>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</si>
  <si>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</si>
  <si>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</si>
  <si>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</si>
  <si>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</si>
  <si>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</si>
  <si>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</si>
  <si>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</si>
  <si>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</si>
  <si>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</si>
  <si>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</si>
  <si>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</si>
  <si>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</si>
  <si>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</si>
  <si>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</si>
  <si>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</si>
  <si>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</si>
  <si>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</si>
  <si>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</si>
  <si>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</si>
  <si>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</si>
  <si>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</si>
  <si>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</si>
  <si>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</si>
  <si>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</si>
  <si>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</si>
  <si>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</si>
  <si>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</si>
  <si>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</si>
  <si>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</si>
  <si>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</si>
  <si>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</si>
  <si>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</si>
  <si>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</si>
  <si>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</si>
  <si>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</si>
  <si>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</si>
  <si>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</si>
  <si>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</si>
  <si>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</si>
  <si>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</si>
  <si>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</si>
  <si>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</si>
  <si>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</si>
  <si>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</si>
  <si>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</si>
  <si>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</si>
  <si>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</si>
  <si>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</si>
  <si>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</si>
  <si>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</si>
  <si>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</si>
  <si>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</si>
  <si>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</si>
  <si>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</si>
  <si>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</si>
  <si>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</si>
  <si>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</si>
  <si>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</si>
  <si>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</si>
  <si>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</si>
  <si>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</si>
  <si>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</si>
  <si>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</si>
  <si>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</si>
  <si>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</si>
  <si>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</si>
  <si>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</si>
  <si>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</si>
  <si>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</si>
  <si>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</si>
  <si>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</si>
  <si>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</si>
  <si>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</si>
  <si>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</si>
  <si>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</si>
  <si>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</si>
  <si>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</si>
  <si>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</si>
  <si>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</si>
  <si>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</si>
  <si>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</si>
  <si>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</si>
  <si>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</si>
  <si>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</si>
  <si>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</si>
  <si>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</si>
  <si>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</si>
  <si>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</si>
  <si>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</si>
  <si>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</si>
  <si>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</si>
  <si>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</si>
  <si>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</si>
  <si>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</si>
  <si>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</si>
  <si>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</si>
  <si>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</si>
  <si>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</si>
  <si>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</si>
  <si>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</si>
  <si>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</si>
  <si>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</si>
  <si>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</si>
  <si>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</si>
  <si>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</si>
  <si>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</si>
  <si>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</si>
  <si>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</si>
  <si>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</si>
  <si>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</si>
  <si>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</si>
  <si>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</si>
  <si>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</si>
  <si>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</si>
  <si>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</si>
  <si>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</si>
  <si>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</si>
  <si>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</si>
  <si>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</si>
  <si>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</si>
  <si>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</si>
  <si>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</si>
  <si>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</si>
  <si>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</si>
  <si>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</si>
  <si>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</si>
  <si>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</si>
  <si>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</si>
  <si>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</si>
  <si>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</si>
  <si>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</si>
  <si>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</si>
  <si>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</si>
  <si>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</si>
  <si>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</si>
  <si>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</si>
  <si>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</si>
  <si>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</si>
  <si>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</si>
  <si>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</si>
  <si>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</si>
  <si>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</si>
  <si>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</si>
  <si>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</si>
  <si>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</si>
  <si>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</si>
  <si>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</si>
  <si>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</si>
  <si>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</si>
  <si>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</si>
  <si>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</si>
  <si>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</si>
  <si>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</si>
  <si>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</si>
  <si>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</si>
  <si>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</si>
  <si>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</si>
  <si>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</si>
  <si>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</si>
  <si>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</si>
  <si>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</si>
  <si>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</si>
  <si>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</si>
  <si>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</si>
  <si>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</si>
  <si>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</si>
  <si>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</si>
  <si>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</si>
  <si>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</si>
  <si>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</si>
  <si>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</si>
  <si>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</si>
  <si>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</si>
  <si>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</si>
  <si>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</si>
  <si>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</si>
  <si>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</si>
  <si>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</si>
  <si>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</si>
  <si>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</si>
  <si>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</si>
  <si>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</si>
  <si>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</si>
  <si>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</si>
  <si>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</si>
  <si>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</si>
  <si>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</si>
  <si>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</si>
  <si>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</si>
  <si>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</si>
  <si>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</si>
  <si>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</si>
  <si>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</si>
  <si>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</si>
  <si>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</si>
  <si>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</si>
  <si>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</si>
  <si>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</si>
  <si>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</si>
  <si>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</si>
  <si>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</si>
  <si>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</si>
  <si>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</si>
  <si>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</si>
  <si>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</si>
  <si>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</si>
  <si>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</si>
  <si>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</si>
  <si>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</si>
  <si>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</si>
  <si>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</si>
  <si>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</si>
  <si>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</si>
  <si>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</si>
  <si>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</si>
  <si>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</si>
  <si>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</si>
  <si>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</si>
  <si>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</si>
  <si>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</si>
  <si>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</si>
  <si>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</si>
  <si>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</si>
  <si>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</si>
  <si>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</si>
  <si>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</si>
  <si>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</si>
  <si>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</si>
  <si>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</si>
  <si>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</si>
  <si>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</si>
  <si>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</si>
  <si>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</si>
  <si>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</si>
  <si>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</si>
  <si>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</si>
  <si>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</si>
  <si>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</si>
  <si>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</si>
  <si>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</si>
  <si>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</si>
  <si>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</si>
  <si>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</si>
  <si>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</si>
  <si>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</si>
  <si>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</si>
  <si>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</si>
  <si>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</si>
  <si>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</si>
  <si>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</si>
  <si>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</si>
  <si>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</si>
  <si>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</si>
  <si>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</si>
  <si>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</si>
  <si>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</si>
  <si>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</si>
  <si>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</si>
  <si>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</si>
  <si>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</si>
  <si>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</si>
  <si>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</si>
  <si>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</si>
  <si>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</si>
  <si>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</si>
  <si>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</si>
  <si>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</si>
  <si>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</si>
  <si>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</si>
  <si>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</si>
  <si>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</si>
  <si>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</si>
  <si>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</si>
  <si>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</si>
  <si>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</si>
  <si>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</si>
  <si>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</si>
  <si>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</si>
  <si>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</si>
  <si>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</si>
  <si>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</si>
  <si>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</si>
  <si>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</si>
  <si>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</si>
  <si>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</si>
  <si>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</si>
  <si>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</si>
  <si>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</si>
  <si>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</si>
  <si>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</si>
  <si>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</si>
  <si>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</si>
  <si>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</si>
  <si>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</si>
  <si>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</si>
  <si>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</si>
  <si>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</si>
  <si>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</si>
  <si>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</si>
  <si>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</si>
  <si>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</si>
  <si>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</si>
  <si>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</si>
  <si>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</si>
  <si>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</si>
  <si>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</si>
  <si>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</si>
  <si>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</si>
  <si>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</si>
  <si>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</si>
  <si>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</si>
  <si>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</si>
  <si>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</si>
  <si>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</si>
  <si>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</si>
  <si>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</si>
  <si>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</si>
  <si>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</si>
  <si>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</si>
  <si>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</si>
  <si>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</si>
  <si>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</si>
  <si>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</si>
  <si>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</si>
  <si>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</si>
  <si>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</si>
  <si>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</si>
  <si>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</si>
  <si>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</si>
  <si>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</si>
  <si>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</si>
  <si>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</si>
  <si>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</si>
  <si>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</si>
  <si>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</si>
  <si>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</si>
  <si>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</si>
  <si>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</si>
  <si>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</si>
  <si>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</si>
  <si>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</si>
  <si>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</si>
  <si>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</si>
  <si>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</si>
  <si>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</si>
  <si>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</si>
  <si>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</si>
  <si>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</si>
  <si>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</si>
  <si>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</si>
  <si>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</si>
  <si>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</si>
  <si>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</si>
  <si>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</si>
  <si>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</si>
  <si>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</si>
  <si>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</si>
  <si>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</si>
  <si>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</si>
  <si>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</si>
  <si>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</si>
  <si>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</si>
  <si>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</si>
  <si>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</si>
  <si>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</si>
  <si>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</si>
  <si>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</si>
  <si>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</si>
  <si>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</si>
  <si>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</si>
  <si>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</si>
  <si>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</si>
  <si>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</si>
  <si>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</si>
  <si>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</si>
  <si>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</si>
  <si>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</si>
  <si>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</si>
  <si>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</si>
  <si>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</si>
  <si>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</si>
  <si>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</si>
  <si>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</si>
  <si>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</si>
  <si>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</si>
  <si>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</si>
  <si>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</si>
  <si>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</si>
  <si>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</si>
  <si>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</si>
  <si>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</si>
  <si>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</si>
  <si>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</si>
  <si>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</si>
  <si>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</si>
  <si>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</si>
  <si>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</si>
  <si>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</si>
  <si>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</si>
  <si>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</si>
  <si>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</si>
  <si>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</si>
  <si>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</si>
  <si>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</si>
  <si>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</si>
  <si>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</si>
  <si>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</si>
  <si>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</si>
  <si>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</si>
  <si>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</si>
  <si>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</si>
  <si>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</si>
  <si>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</si>
  <si>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</si>
  <si>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</si>
  <si>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</si>
  <si>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</si>
  <si>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</si>
  <si>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</si>
  <si>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</si>
  <si>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</si>
  <si>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</si>
  <si>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</si>
  <si>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</si>
  <si>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</si>
  <si>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</si>
  <si>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</si>
  <si>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</si>
  <si>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</si>
  <si>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</si>
  <si>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</si>
  <si>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</si>
  <si>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</si>
  <si>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</si>
  <si>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</si>
  <si>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</si>
  <si>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</si>
  <si>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</si>
  <si>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</si>
  <si>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</si>
  <si>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</si>
  <si>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</si>
  <si>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</si>
  <si>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</si>
  <si>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</si>
  <si>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</si>
  <si>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</si>
  <si>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</si>
  <si>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</si>
  <si>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</si>
  <si>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</si>
  <si>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</si>
  <si>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</si>
  <si>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</si>
  <si>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</si>
  <si>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</si>
  <si>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</si>
  <si>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</si>
  <si>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</si>
  <si>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</si>
  <si>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</si>
  <si>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</si>
  <si>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</si>
  <si>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</si>
  <si>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</si>
  <si>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</si>
  <si>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</si>
  <si>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</si>
  <si>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</si>
  <si>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</si>
  <si>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</si>
  <si>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</si>
  <si>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</si>
  <si>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</si>
  <si>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</si>
  <si>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</si>
  <si>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</si>
  <si>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</si>
  <si>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</si>
  <si>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</si>
  <si>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</si>
  <si>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</si>
  <si>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</si>
  <si>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</si>
  <si>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</si>
  <si>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</si>
  <si>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</si>
  <si>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</si>
  <si>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</si>
  <si>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</si>
  <si>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</si>
  <si>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</si>
  <si>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</si>
  <si>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</si>
  <si>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</si>
  <si>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</si>
  <si>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</si>
  <si>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</si>
  <si>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</si>
  <si>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</si>
  <si>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</si>
  <si>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</si>
  <si>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</si>
  <si>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</si>
  <si>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</si>
  <si>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</si>
  <si>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</si>
  <si>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</si>
  <si>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</si>
  <si>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</si>
  <si>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</si>
  <si>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</si>
  <si>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</si>
  <si>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</si>
  <si>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</si>
  <si>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</si>
  <si>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</si>
  <si>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</si>
  <si>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</si>
  <si>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</si>
  <si>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</si>
  <si>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</si>
  <si>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</si>
  <si>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</si>
  <si>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</si>
  <si>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</si>
  <si>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</si>
  <si>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</si>
  <si>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</si>
  <si>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</si>
  <si>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</si>
  <si>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</si>
  <si>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</si>
  <si>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</si>
  <si>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</si>
  <si>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</si>
  <si>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</si>
  <si>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</si>
  <si>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</si>
  <si>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</si>
  <si>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</si>
  <si>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</si>
  <si>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</si>
  <si>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</si>
  <si>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</si>
  <si>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</si>
  <si>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</si>
  <si>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</si>
  <si>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</si>
  <si>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</si>
  <si>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</si>
  <si>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</si>
  <si>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</si>
  <si>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</si>
  <si>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</si>
  <si>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</si>
  <si>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</si>
  <si>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</si>
  <si>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</si>
  <si>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</si>
  <si>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</si>
  <si>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</si>
  <si>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</si>
  <si>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</si>
  <si>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</si>
  <si>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</si>
  <si>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</si>
  <si>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</si>
  <si>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</si>
  <si>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</si>
  <si>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</si>
  <si>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</si>
  <si>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</si>
  <si>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</si>
  <si>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</si>
  <si>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</si>
  <si>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</si>
  <si>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</si>
  <si>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</si>
  <si>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</si>
  <si>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</si>
  <si>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</si>
  <si>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</si>
  <si>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</si>
  <si>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</si>
  <si>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</si>
  <si>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</si>
  <si>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</si>
  <si>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</si>
  <si>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</si>
  <si>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</si>
  <si>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</si>
  <si>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</si>
  <si>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</si>
  <si>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</si>
  <si>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</si>
  <si>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</si>
  <si>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</si>
  <si>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</si>
  <si>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</si>
  <si>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</si>
  <si>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</si>
  <si>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</si>
  <si>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</si>
  <si>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</si>
  <si>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</si>
  <si>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</si>
  <si>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</si>
  <si>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</si>
  <si>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</si>
  <si>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</si>
  <si>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</si>
  <si>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</si>
  <si>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</si>
  <si>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</si>
  <si>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</si>
  <si>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</si>
  <si>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</si>
  <si>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</si>
  <si>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</si>
  <si>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</si>
  <si>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</si>
  <si>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</si>
  <si>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</si>
  <si>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</si>
  <si>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</si>
  <si>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</si>
  <si>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</si>
  <si>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</si>
  <si>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</si>
  <si>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</si>
  <si>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</si>
  <si>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</si>
  <si>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</si>
  <si>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</si>
  <si>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</si>
  <si>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</si>
  <si>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</si>
  <si>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</si>
  <si>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</si>
  <si>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</si>
  <si>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</si>
  <si>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</si>
  <si>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</si>
  <si>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</si>
  <si>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</si>
  <si>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</si>
  <si>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</si>
  <si>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</si>
  <si>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</si>
  <si>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</si>
  <si>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</si>
  <si>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</si>
  <si>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</si>
  <si>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</si>
  <si>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</si>
  <si>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</si>
  <si>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</si>
  <si>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</si>
  <si>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</si>
  <si>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</si>
  <si>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</si>
  <si>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</si>
  <si>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</si>
  <si>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</si>
  <si>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</si>
  <si>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</si>
  <si>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</si>
  <si>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</si>
  <si>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</si>
  <si>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</si>
  <si>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</si>
  <si>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</si>
  <si>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</si>
  <si>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</si>
  <si>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</si>
  <si>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</si>
  <si>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</si>
  <si>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</si>
  <si>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</si>
  <si>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</si>
  <si>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</si>
  <si>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</si>
  <si>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</si>
  <si>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</si>
  <si>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</si>
  <si>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</si>
  <si>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</si>
  <si>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</si>
  <si>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</si>
  <si>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</si>
  <si>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</si>
  <si>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</si>
  <si>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</si>
  <si>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</si>
  <si>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</si>
  <si>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</si>
  <si>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</si>
  <si>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</si>
  <si>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</si>
  <si>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</si>
  <si>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</si>
  <si>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</si>
  <si>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</si>
  <si>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</si>
  <si>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</si>
  <si>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</si>
  <si>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</si>
  <si>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</si>
  <si>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</si>
  <si>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</si>
  <si>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</si>
  <si>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</si>
  <si>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</si>
  <si>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</si>
  <si>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</si>
  <si>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</si>
  <si>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</si>
  <si>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</si>
  <si>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</si>
  <si>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</si>
  <si>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</si>
  <si>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</si>
  <si>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</si>
  <si>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</si>
  <si>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</si>
  <si>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</si>
  <si>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</si>
  <si>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</si>
  <si>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</si>
  <si>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</si>
  <si>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</si>
  <si>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</si>
  <si>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</si>
  <si>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</si>
  <si>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</si>
  <si>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</si>
  <si>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</si>
  <si>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</si>
  <si>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</si>
  <si>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</si>
  <si>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</si>
  <si>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</si>
  <si>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</si>
  <si>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</si>
  <si>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</si>
  <si>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</si>
  <si>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</si>
  <si>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</si>
  <si>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</si>
  <si>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</si>
  <si>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</si>
  <si>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</si>
  <si>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</si>
  <si>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</si>
  <si>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</si>
  <si>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</si>
  <si>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</si>
  <si>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</si>
  <si>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</si>
  <si>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</si>
  <si>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</si>
  <si>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</si>
  <si>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</si>
  <si>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</si>
  <si>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</si>
  <si>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</si>
  <si>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</si>
  <si>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</si>
  <si>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</si>
  <si>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</si>
  <si>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</si>
  <si>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</si>
  <si>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</si>
  <si>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</si>
  <si>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</si>
  <si>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</si>
  <si>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</si>
  <si>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</si>
  <si>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</si>
  <si>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</si>
  <si>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</si>
  <si>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</si>
  <si>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</si>
  <si>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</si>
  <si>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</si>
  <si>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</si>
  <si>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</si>
  <si>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</si>
  <si>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</si>
  <si>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</si>
  <si>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</si>
  <si>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</si>
  <si>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</si>
  <si>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</si>
  <si>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</si>
  <si>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</si>
  <si>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</si>
  <si>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</si>
  <si>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</si>
  <si>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</si>
  <si>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</si>
  <si>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</si>
  <si>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</si>
  <si>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</si>
  <si>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</si>
  <si>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</si>
  <si>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</si>
  <si>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</si>
  <si>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</si>
  <si>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</si>
  <si>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</si>
  <si>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</si>
  <si>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</si>
  <si>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</si>
  <si>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</si>
  <si>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</si>
  <si>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</si>
  <si>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</si>
  <si>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</si>
  <si>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</si>
  <si>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</si>
  <si>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</si>
  <si>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</si>
  <si>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</si>
  <si>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</si>
  <si>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</si>
  <si>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</si>
  <si>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</si>
  <si>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</si>
  <si>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</si>
  <si>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</si>
  <si>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</si>
  <si>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</si>
  <si>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</si>
  <si>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</si>
  <si>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</si>
  <si>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</si>
  <si>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</si>
  <si>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</si>
  <si>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</si>
  <si>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</si>
  <si>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</si>
  <si>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</si>
  <si>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</si>
  <si>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</si>
  <si>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</si>
  <si>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</si>
  <si>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</si>
  <si>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</si>
  <si>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</si>
  <si>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</si>
  <si>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</si>
  <si>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</si>
  <si>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</si>
  <si>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</si>
  <si>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</si>
  <si>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</si>
  <si>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</si>
  <si>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</si>
  <si>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</si>
  <si>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</si>
  <si>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</si>
  <si>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</si>
  <si>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</si>
  <si>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</si>
  <si>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</si>
  <si>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</si>
  <si>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</si>
  <si>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</si>
  <si>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</si>
  <si>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</si>
  <si>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</si>
  <si>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</si>
  <si>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</si>
  <si>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</si>
  <si>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</si>
  <si>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</si>
  <si>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</si>
  <si>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</si>
  <si>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</si>
  <si>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</si>
  <si>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</si>
  <si>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</si>
  <si>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</si>
  <si>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</si>
  <si>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</si>
  <si>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</si>
  <si>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</si>
  <si>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</si>
  <si>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</si>
  <si>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</si>
  <si>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</si>
  <si>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</si>
  <si>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</si>
  <si>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</si>
  <si>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</si>
  <si>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</si>
  <si>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</si>
  <si>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</si>
  <si>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</si>
  <si>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</si>
  <si>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</si>
  <si>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</si>
  <si>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</si>
  <si>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</si>
  <si>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</si>
  <si>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</si>
  <si>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</si>
  <si>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</si>
  <si>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</si>
  <si>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</si>
  <si>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</si>
  <si>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</si>
  <si>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</si>
  <si>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</si>
  <si>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</si>
  <si>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</si>
  <si>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</si>
  <si>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</si>
  <si>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</si>
  <si>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</si>
  <si>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</si>
  <si>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</si>
  <si>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</si>
  <si>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</si>
  <si>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</si>
  <si>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</si>
  <si>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</si>
  <si>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</si>
  <si>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</si>
  <si>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</si>
  <si>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</si>
  <si>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</si>
  <si>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</si>
  <si>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</si>
  <si>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</si>
  <si>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</si>
  <si>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</si>
  <si>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</si>
  <si>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</si>
  <si>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</si>
  <si>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</si>
  <si>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</si>
  <si>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</si>
  <si>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</si>
  <si>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</si>
  <si>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</si>
  <si>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</si>
  <si>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</si>
  <si>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</si>
  <si>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</si>
  <si>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</si>
  <si>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</si>
  <si>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</si>
  <si>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</si>
  <si>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</si>
  <si>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</si>
  <si>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</si>
  <si>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</si>
  <si>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</si>
  <si>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</si>
  <si>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</si>
  <si>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</si>
  <si>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</si>
  <si>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</si>
  <si>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</si>
  <si>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</si>
  <si>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</si>
  <si>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</si>
  <si>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</si>
  <si>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</si>
  <si>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</si>
  <si>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</si>
  <si>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</si>
  <si>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</si>
  <si>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</si>
  <si>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</si>
  <si>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</si>
  <si>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</si>
  <si>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</si>
  <si>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</si>
  <si>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</si>
  <si>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</si>
  <si>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</si>
  <si>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</si>
  <si>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</si>
  <si>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</si>
  <si>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</si>
  <si>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</si>
  <si>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</si>
  <si>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</si>
  <si>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</si>
  <si>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</si>
  <si>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</si>
  <si>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</si>
  <si>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</si>
  <si>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</si>
  <si>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</si>
  <si>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</si>
  <si>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</si>
  <si>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</si>
  <si>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</si>
  <si>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</si>
  <si>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</si>
  <si>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</si>
  <si>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</si>
  <si>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</si>
  <si>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</si>
  <si>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</si>
  <si>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</si>
  <si>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</si>
  <si>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</si>
  <si>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</si>
  <si>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</si>
  <si>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</si>
  <si>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</si>
  <si>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</si>
  <si>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</si>
  <si>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</si>
  <si>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</si>
  <si>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</si>
  <si>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</si>
  <si>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</si>
  <si>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</si>
  <si>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</si>
  <si>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</si>
  <si>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</si>
  <si>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</si>
  <si>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</si>
  <si>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</si>
  <si>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</si>
  <si>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</si>
  <si>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</si>
  <si>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</si>
  <si>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</si>
  <si>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</si>
  <si>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</si>
  <si>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</si>
  <si>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</si>
  <si>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</si>
  <si>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</si>
  <si>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</si>
  <si>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</si>
  <si>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</si>
  <si>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</si>
  <si>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</si>
  <si>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</si>
  <si>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</si>
  <si>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</si>
  <si>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</si>
  <si>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</si>
  <si>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</si>
  <si>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</si>
  <si>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</si>
  <si>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</si>
  <si>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</si>
  <si>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</si>
  <si>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</si>
  <si>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</si>
  <si>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</si>
  <si>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</si>
  <si>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</si>
  <si>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</si>
  <si>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</si>
  <si>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</si>
  <si>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</si>
  <si>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</si>
  <si>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</si>
  <si>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</si>
  <si>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</si>
  <si>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</si>
  <si>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</si>
  <si>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</si>
  <si>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</si>
  <si>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</si>
  <si>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</si>
  <si>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</si>
  <si>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</si>
  <si>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</si>
  <si>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</si>
  <si>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</si>
  <si>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</si>
  <si>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</si>
  <si>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</si>
  <si>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</si>
  <si>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</si>
  <si>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</si>
  <si>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</si>
  <si>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</si>
  <si>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</si>
  <si>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</si>
  <si>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</si>
  <si>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</si>
  <si>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</si>
  <si>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</si>
  <si>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</si>
  <si>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</si>
  <si>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</si>
  <si>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</si>
  <si>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</si>
  <si>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</si>
  <si>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</si>
  <si>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</si>
  <si>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</si>
  <si>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</si>
  <si>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</si>
  <si>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</si>
  <si>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</si>
  <si>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</si>
  <si>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</si>
  <si>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</si>
  <si>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</si>
  <si>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</si>
  <si>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</si>
  <si>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</si>
  <si>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</si>
  <si>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</si>
  <si>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</si>
  <si>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</si>
  <si>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</si>
  <si>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</si>
  <si>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</si>
  <si>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</si>
  <si>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</si>
  <si>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</si>
  <si>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</si>
  <si>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</si>
  <si>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</si>
  <si>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</si>
  <si>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</si>
  <si>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</si>
  <si>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</si>
  <si>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</si>
  <si>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</si>
  <si>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</si>
  <si>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</si>
  <si>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</si>
  <si>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</si>
  <si>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</si>
  <si>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</si>
  <si>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</si>
  <si>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</si>
  <si>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</si>
  <si>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</si>
  <si>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</si>
  <si>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</si>
  <si>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</si>
  <si>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</si>
  <si>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</si>
  <si>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</si>
  <si>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</si>
  <si>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</si>
  <si>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</si>
  <si>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</si>
  <si>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</si>
  <si>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</si>
  <si>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</si>
  <si>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</si>
  <si>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</si>
  <si>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</si>
  <si>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</si>
  <si>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</si>
  <si>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</si>
  <si>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</si>
  <si>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</si>
  <si>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</si>
  <si>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</si>
  <si>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</si>
  <si>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</si>
  <si>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</si>
  <si>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</si>
  <si>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</si>
  <si>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</si>
  <si>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</si>
  <si>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</si>
  <si>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</si>
  <si>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</si>
  <si>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</si>
  <si>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</si>
  <si>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</si>
  <si>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</si>
  <si>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</si>
  <si>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</si>
  <si>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</si>
  <si>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</si>
  <si>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</si>
  <si>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</si>
  <si>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</si>
  <si>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</si>
  <si>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</si>
  <si>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</si>
  <si>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</si>
  <si>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</si>
  <si>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</si>
  <si>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</si>
  <si>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</si>
  <si>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</si>
  <si>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</si>
  <si>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</si>
  <si>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</si>
  <si>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</si>
  <si>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</si>
  <si>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</si>
  <si>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</si>
  <si>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</si>
  <si>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</si>
  <si>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</si>
  <si>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</si>
  <si>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</si>
  <si>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</si>
  <si>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</si>
  <si>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</si>
  <si>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</si>
  <si>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</si>
  <si>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</si>
  <si>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</si>
  <si>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</si>
  <si>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</si>
  <si>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</si>
  <si>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</si>
  <si>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</si>
  <si>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</si>
  <si>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</si>
  <si>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</si>
  <si>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</si>
  <si>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</si>
  <si>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</si>
  <si>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</si>
  <si>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</si>
  <si>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</si>
  <si>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</si>
  <si>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</si>
  <si>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</si>
  <si>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</si>
  <si>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</si>
  <si>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</si>
  <si>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</si>
  <si>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</si>
  <si>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</si>
  <si>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</si>
  <si>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</si>
  <si>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</si>
  <si>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</si>
  <si>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</si>
  <si>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</si>
  <si>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</si>
  <si>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</si>
  <si>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</si>
  <si>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</si>
  <si>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</si>
  <si>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</si>
  <si>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</si>
  <si>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</si>
  <si>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</si>
  <si>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</si>
  <si>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</si>
  <si>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</si>
  <si>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</si>
  <si>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</si>
  <si>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</si>
  <si>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</si>
  <si>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</si>
  <si>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</si>
  <si>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</si>
  <si>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</si>
  <si>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</si>
  <si>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</si>
  <si>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</si>
  <si>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</si>
  <si>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</si>
  <si>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</si>
  <si>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</si>
  <si>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</si>
  <si>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</si>
  <si>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</si>
  <si>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</si>
  <si>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</si>
  <si>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</si>
  <si>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</si>
  <si>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</si>
  <si>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</si>
  <si>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</si>
  <si>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</si>
  <si>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</si>
  <si>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</si>
  <si>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</si>
  <si>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</si>
  <si>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</si>
  <si>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</si>
  <si>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</si>
  <si>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</si>
  <si>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</si>
  <si>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</si>
  <si>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</si>
  <si>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</si>
  <si>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</si>
  <si>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</si>
  <si>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</si>
  <si>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</si>
  <si>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</si>
  <si>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</si>
  <si>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</si>
  <si>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</si>
  <si>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</si>
  <si>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</si>
  <si>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</si>
  <si>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</si>
  <si>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</si>
  <si>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</si>
  <si>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</si>
  <si>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</si>
  <si>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</si>
  <si>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</si>
  <si>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</si>
  <si>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</si>
  <si>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</si>
  <si>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</si>
  <si>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</si>
  <si>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</si>
  <si>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</si>
  <si>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</si>
  <si>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</si>
  <si>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</si>
  <si>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</si>
  <si>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</si>
  <si>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</si>
  <si>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</si>
  <si>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</si>
  <si>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</si>
  <si>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</si>
  <si>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</si>
  <si>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</si>
  <si>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</si>
  <si>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</si>
  <si>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</si>
  <si>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</si>
  <si>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</si>
  <si>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</si>
  <si>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</si>
  <si>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</si>
  <si>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</si>
  <si>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</si>
  <si>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</si>
  <si>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</si>
  <si>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</si>
  <si>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</si>
  <si>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</si>
  <si>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</si>
  <si>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</si>
  <si>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</si>
  <si>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</si>
  <si>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</si>
  <si>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</si>
  <si>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</si>
  <si>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</si>
  <si>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</si>
  <si>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</si>
  <si>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</si>
  <si>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</si>
  <si>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</si>
  <si>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</si>
  <si>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</si>
  <si>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</si>
  <si>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</si>
  <si>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</si>
  <si>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</si>
  <si>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</si>
  <si>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</si>
  <si>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</si>
  <si>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</si>
  <si>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</si>
  <si>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</si>
  <si>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</si>
  <si>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</si>
  <si>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</si>
  <si>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</si>
  <si>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</si>
  <si>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</si>
  <si>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</si>
  <si>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</si>
  <si>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</si>
  <si>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</si>
  <si>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</si>
  <si>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</si>
  <si>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</si>
  <si>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</si>
  <si>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</si>
  <si>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</si>
  <si>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</si>
  <si>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</si>
  <si>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</si>
  <si>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</si>
  <si>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</si>
  <si>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</si>
  <si>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</si>
  <si>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</si>
  <si>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</si>
  <si>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</si>
  <si>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</si>
  <si>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</si>
  <si>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</si>
  <si>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</si>
  <si>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</si>
  <si>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</si>
  <si>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</si>
  <si>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</si>
  <si>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</si>
  <si>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</si>
  <si>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</si>
  <si>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</si>
  <si>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</si>
  <si>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</si>
  <si>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</si>
  <si>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</si>
  <si>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</si>
  <si>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</si>
  <si>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</si>
  <si>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</si>
  <si>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</si>
  <si>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</si>
  <si>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</si>
  <si>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</si>
  <si>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</si>
  <si>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</si>
  <si>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</si>
  <si>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</si>
  <si>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</si>
  <si>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</si>
  <si>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</si>
  <si>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</si>
  <si>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</si>
  <si>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</si>
  <si>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</si>
  <si>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</si>
  <si>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</si>
  <si>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</si>
  <si>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</si>
  <si>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</si>
  <si>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</si>
  <si>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</si>
  <si>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</si>
  <si>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</si>
  <si>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</si>
  <si>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</si>
  <si>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</si>
  <si>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</si>
  <si>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</si>
  <si>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</si>
  <si>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</si>
  <si>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</si>
  <si>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</si>
  <si>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</si>
  <si>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</si>
  <si>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</si>
  <si>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</si>
  <si>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</si>
  <si>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</si>
  <si>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</si>
  <si>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</si>
  <si>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</si>
  <si>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</si>
  <si>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</si>
  <si>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</si>
  <si>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</si>
  <si>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</si>
  <si>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</si>
  <si>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</si>
  <si>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</si>
  <si>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</si>
  <si>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</si>
  <si>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</si>
  <si>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</si>
  <si>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</si>
  <si>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</si>
  <si>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</si>
  <si>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</si>
  <si>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</si>
  <si>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</si>
  <si>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</si>
  <si>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</si>
  <si>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</si>
  <si>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</si>
  <si>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</si>
  <si>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</si>
  <si>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</si>
  <si>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</si>
  <si>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</si>
  <si>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</si>
  <si>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</si>
  <si>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</si>
  <si>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</si>
  <si>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</si>
  <si>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</si>
  <si>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</si>
  <si>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</si>
  <si>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</si>
  <si>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</si>
  <si>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</si>
  <si>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</si>
  <si>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</si>
  <si>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</si>
  <si>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</si>
  <si>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</si>
  <si>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</si>
  <si>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</si>
  <si>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</si>
  <si>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</si>
  <si>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</si>
  <si>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</si>
  <si>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</si>
  <si>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</si>
  <si>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</si>
  <si>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</si>
  <si>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</si>
  <si>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</si>
  <si>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</si>
  <si>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</si>
  <si>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</si>
  <si>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</si>
  <si>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</si>
  <si>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</si>
  <si>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</si>
  <si>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</si>
  <si>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</si>
  <si>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</si>
  <si>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</si>
  <si>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</si>
  <si>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</si>
  <si>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</si>
  <si>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</si>
  <si>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</si>
  <si>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</si>
  <si>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</si>
  <si>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</si>
  <si>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</si>
  <si>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</si>
  <si>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</si>
  <si>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</si>
  <si>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</si>
  <si>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</si>
  <si>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</si>
  <si>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</si>
  <si>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</si>
  <si>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</si>
  <si>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</si>
  <si>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</si>
  <si>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</si>
  <si>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</si>
  <si>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</si>
  <si>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</si>
  <si>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</si>
  <si>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</si>
  <si>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</si>
  <si>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</si>
  <si>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</si>
  <si>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</si>
  <si>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</si>
  <si>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</si>
  <si>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</si>
  <si>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</si>
  <si>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</si>
  <si>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</si>
  <si>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</si>
  <si>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</si>
  <si>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</si>
  <si>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</si>
  <si>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</si>
  <si>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</si>
  <si>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</si>
  <si>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</si>
  <si>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</si>
  <si>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</si>
  <si>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</si>
  <si>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</si>
  <si>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</si>
  <si>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</si>
  <si>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</si>
  <si>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</si>
  <si>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</si>
  <si>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</si>
  <si>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</si>
  <si>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</si>
  <si>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</si>
  <si>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</si>
  <si>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</si>
  <si>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</si>
  <si>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</si>
  <si>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</si>
  <si>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</si>
  <si>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</si>
  <si>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</si>
  <si>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</si>
  <si>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</si>
  <si>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</si>
  <si>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</si>
  <si>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</si>
  <si>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</si>
  <si>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</si>
  <si>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</si>
  <si>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</si>
  <si>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</si>
  <si>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</si>
  <si>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</si>
  <si>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</si>
  <si>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</si>
  <si>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</si>
  <si>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</si>
  <si>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</si>
  <si>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</si>
  <si>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</si>
  <si>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</si>
  <si>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</si>
  <si>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</si>
  <si>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</si>
  <si>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</si>
  <si>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</si>
  <si>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</si>
  <si>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</si>
  <si>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</si>
  <si>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</si>
  <si>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</si>
  <si>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</si>
  <si>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</si>
  <si>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</si>
  <si>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</si>
  <si>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</si>
  <si>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</si>
  <si>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</si>
  <si>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</si>
  <si>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</si>
  <si>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</si>
  <si>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</si>
  <si>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</si>
  <si>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</si>
  <si>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</si>
  <si>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</si>
  <si>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</si>
  <si>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</si>
  <si>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</si>
  <si>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</si>
  <si>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</si>
  <si>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</si>
  <si>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</si>
  <si>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</si>
  <si>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</si>
  <si>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</si>
  <si>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</si>
  <si>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</si>
  <si>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</si>
  <si>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</si>
  <si>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</si>
  <si>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</si>
  <si>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</si>
  <si>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</si>
  <si>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</si>
  <si>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</si>
  <si>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</si>
  <si>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</si>
  <si>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</si>
  <si>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</si>
  <si>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</si>
  <si>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</si>
  <si>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</si>
  <si>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</si>
  <si>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</si>
  <si>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</si>
  <si>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</si>
  <si>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</si>
  <si>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</si>
  <si>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</si>
  <si>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</si>
  <si>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</si>
  <si>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</si>
  <si>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</si>
  <si>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</si>
  <si>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</si>
  <si>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</si>
  <si>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</si>
  <si>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</si>
  <si>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</si>
  <si>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</si>
  <si>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</si>
  <si>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</si>
  <si>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</si>
  <si>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</si>
  <si>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</si>
  <si>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</si>
  <si>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</si>
  <si>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</si>
  <si>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</si>
  <si>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</si>
  <si>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</si>
  <si>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</si>
  <si>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</si>
  <si>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</si>
  <si>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</si>
  <si>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</si>
  <si>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</si>
  <si>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</si>
  <si>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</si>
  <si>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</si>
  <si>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</si>
  <si>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</si>
  <si>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</si>
  <si>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</si>
  <si>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</si>
  <si>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</si>
  <si>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</si>
  <si>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</si>
  <si>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</si>
  <si>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</si>
  <si>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</si>
  <si>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</si>
  <si>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</si>
  <si>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</si>
  <si>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</si>
  <si>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</si>
  <si>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</si>
  <si>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</si>
  <si>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</si>
  <si>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</si>
  <si>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</si>
  <si>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</si>
  <si>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</si>
  <si>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</si>
  <si>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</si>
  <si>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</si>
  <si>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</si>
  <si>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</si>
  <si>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</si>
  <si>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</si>
  <si>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</si>
  <si>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</si>
  <si>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</si>
  <si>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</si>
  <si>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</si>
  <si>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</si>
  <si>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</si>
  <si>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</si>
  <si>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</si>
  <si>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</si>
  <si>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</si>
  <si>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</si>
  <si>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</si>
  <si>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</si>
  <si>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</si>
  <si>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</si>
  <si>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</si>
  <si>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</si>
  <si>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</si>
  <si>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</si>
  <si>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</si>
  <si>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</si>
  <si>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</si>
  <si>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</si>
  <si>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</si>
  <si>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</si>
  <si>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</si>
  <si>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</si>
  <si>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</si>
  <si>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</si>
  <si>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</si>
  <si>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</si>
  <si>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</si>
  <si>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</si>
  <si>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</si>
  <si>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</si>
  <si>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</si>
  <si>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</si>
  <si>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</si>
  <si>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</si>
  <si>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</si>
  <si>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</si>
  <si>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</si>
  <si>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</si>
  <si>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</si>
  <si>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</si>
  <si>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</si>
  <si>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</si>
  <si>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</si>
  <si>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</si>
  <si>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</si>
  <si>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</si>
  <si>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</si>
  <si>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</si>
  <si>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</si>
  <si>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</si>
  <si>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</si>
  <si>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</si>
  <si>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</si>
  <si>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</si>
  <si>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</si>
  <si>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</si>
  <si>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</si>
  <si>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</si>
  <si>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</si>
  <si>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</si>
  <si>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</si>
  <si>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</si>
  <si>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</si>
  <si>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</si>
  <si>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</si>
  <si>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</si>
  <si>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</si>
  <si>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</si>
  <si>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</si>
  <si>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</si>
  <si>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</si>
  <si>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</si>
  <si>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</si>
  <si>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</si>
  <si>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</si>
  <si>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</si>
  <si>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</si>
  <si>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</si>
  <si>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</si>
  <si>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</si>
  <si>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</si>
  <si>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</si>
  <si>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</si>
  <si>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</si>
  <si>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</si>
  <si>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</si>
  <si>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</si>
  <si>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</si>
  <si>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</si>
  <si>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</si>
  <si>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</si>
  <si>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</si>
  <si>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</si>
  <si>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</si>
  <si>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</si>
  <si>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</si>
  <si>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</si>
  <si>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</si>
  <si>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</si>
  <si>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</si>
  <si>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</si>
  <si>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</si>
  <si>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</si>
  <si>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</si>
  <si>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</si>
  <si>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</si>
  <si>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</si>
  <si>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</si>
  <si>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</si>
  <si>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</si>
  <si>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</si>
  <si>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</si>
  <si>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</si>
  <si>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</si>
  <si>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</si>
  <si>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</si>
  <si>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</si>
  <si>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</si>
  <si>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</si>
  <si>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</si>
  <si>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</si>
  <si>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</si>
  <si>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</si>
  <si>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</si>
  <si>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</si>
  <si>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</si>
  <si>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</si>
  <si>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</si>
  <si>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</si>
  <si>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</si>
  <si>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</si>
  <si>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</si>
  <si>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</si>
  <si>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</si>
  <si>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</si>
  <si>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</si>
  <si>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</si>
  <si>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</si>
  <si>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</si>
  <si>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</si>
  <si>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</si>
  <si>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</si>
  <si>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</si>
  <si>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</si>
  <si>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</si>
  <si>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</si>
  <si>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</si>
  <si>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</si>
  <si>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</si>
  <si>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</si>
  <si>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</si>
  <si>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</si>
  <si>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</si>
  <si>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</si>
  <si>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</si>
  <si>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</si>
  <si>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</si>
  <si>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</si>
  <si>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</si>
  <si>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</si>
  <si>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</si>
  <si>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</si>
  <si>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</si>
  <si>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</si>
  <si>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</si>
  <si>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</si>
  <si>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</si>
  <si>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</si>
  <si>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</si>
  <si>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</si>
  <si>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</si>
  <si>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</si>
  <si>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</si>
  <si>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</si>
  <si>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</si>
  <si>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</si>
  <si>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</si>
  <si>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</si>
  <si>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</si>
  <si>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</si>
  <si>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</si>
  <si>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</si>
  <si>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</si>
  <si>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</si>
  <si>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</si>
  <si>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</si>
  <si>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</si>
  <si>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</si>
  <si>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</si>
  <si>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</si>
  <si>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</si>
  <si>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</si>
  <si>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</si>
  <si>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</si>
  <si>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</si>
  <si>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</si>
  <si>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</si>
  <si>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</si>
  <si>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</si>
  <si>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</si>
  <si>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</si>
  <si>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</si>
  <si>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</si>
  <si>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</si>
  <si>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</si>
  <si>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</si>
  <si>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</si>
  <si>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</si>
  <si>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</si>
  <si>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</si>
  <si>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</si>
  <si>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</si>
  <si>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</si>
  <si>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</si>
  <si>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</si>
  <si>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</si>
  <si>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</si>
  <si>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</si>
  <si>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</si>
  <si>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</si>
  <si>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</si>
  <si>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</si>
  <si>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</si>
  <si>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</si>
  <si>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</si>
  <si>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</si>
  <si>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</si>
  <si>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</si>
  <si>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</si>
  <si>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</si>
  <si>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</si>
  <si>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</si>
  <si>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</si>
  <si>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</si>
  <si>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</si>
  <si>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</si>
  <si>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</si>
  <si>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</si>
  <si>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</si>
  <si>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</si>
  <si>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</si>
  <si>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</si>
  <si>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</si>
  <si>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</si>
  <si>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</si>
  <si>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</si>
  <si>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</si>
  <si>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</si>
  <si>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</si>
  <si>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</si>
  <si>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</si>
  <si>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</si>
  <si>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</si>
  <si>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</si>
  <si>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</si>
  <si>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</si>
  <si>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</si>
  <si>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</si>
  <si>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</si>
  <si>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</si>
  <si>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</si>
  <si>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</si>
  <si>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</si>
  <si>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</si>
  <si>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</si>
  <si>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</si>
  <si>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</si>
  <si>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</si>
  <si>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</si>
  <si>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</si>
  <si>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</si>
  <si>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</si>
  <si>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</si>
  <si>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</si>
  <si>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</si>
  <si>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</si>
  <si>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</si>
  <si>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</si>
  <si>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</si>
  <si>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</si>
  <si>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</si>
  <si>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</si>
  <si>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</si>
  <si>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</si>
  <si>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</si>
  <si>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</si>
  <si>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</si>
  <si>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</si>
  <si>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</si>
  <si>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</si>
  <si>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</si>
  <si>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</si>
  <si>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</si>
  <si>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</si>
  <si>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</si>
  <si>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</si>
  <si>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</si>
  <si>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</si>
  <si>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</si>
  <si>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</si>
  <si>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</si>
  <si>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</si>
  <si>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</si>
  <si>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</si>
  <si>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</si>
  <si>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</si>
  <si>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</si>
  <si>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</si>
  <si>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</si>
  <si>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</si>
  <si>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</si>
  <si>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</si>
  <si>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</si>
  <si>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</si>
  <si>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</si>
  <si>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</si>
  <si>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</si>
  <si>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</si>
  <si>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</si>
  <si>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</si>
  <si>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</si>
  <si>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</si>
  <si>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</si>
  <si>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</si>
  <si>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</si>
  <si>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</si>
  <si>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</si>
  <si>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</si>
  <si>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</si>
  <si>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</si>
  <si>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</si>
  <si>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</si>
  <si>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</si>
  <si>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</si>
  <si>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</si>
  <si>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</si>
  <si>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</si>
  <si>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</si>
  <si>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</si>
  <si>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</si>
  <si>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</si>
  <si>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</si>
  <si>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</si>
  <si>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</si>
  <si>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</si>
  <si>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</si>
  <si>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</si>
  <si>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</si>
  <si>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</si>
  <si>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</si>
  <si>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</si>
  <si>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</si>
  <si>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</si>
  <si>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</si>
  <si>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</si>
  <si>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</si>
  <si>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</si>
  <si>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</si>
  <si>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</si>
  <si>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</si>
  <si>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</si>
  <si>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</si>
  <si>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</si>
  <si>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</si>
  <si>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</si>
  <si>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</si>
  <si>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</si>
  <si>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</si>
  <si>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</si>
  <si>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</si>
  <si>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</si>
  <si>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</si>
  <si>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</si>
  <si>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</si>
  <si>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</si>
  <si>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</si>
  <si>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</si>
  <si>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</si>
  <si>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</si>
  <si>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</si>
  <si>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</si>
  <si>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</si>
  <si>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</si>
  <si>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</si>
  <si>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</si>
  <si>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</si>
  <si>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</si>
  <si>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</si>
  <si>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</si>
  <si>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</si>
  <si>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</si>
  <si>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</si>
  <si>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</si>
  <si>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</si>
  <si>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</si>
  <si>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</si>
  <si>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</si>
  <si>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</si>
  <si>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</si>
  <si>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</si>
  <si>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</si>
  <si>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</si>
  <si>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</si>
  <si>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</si>
  <si>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</si>
  <si>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</si>
  <si>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</si>
  <si>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</si>
  <si>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</si>
  <si>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</si>
  <si>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</si>
  <si>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</si>
  <si>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</si>
  <si>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</si>
  <si>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</si>
  <si>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</si>
  <si>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</si>
  <si>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</si>
  <si>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</si>
  <si>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</si>
  <si>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</si>
  <si>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</si>
  <si>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</si>
  <si>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</si>
  <si>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</si>
  <si>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</si>
  <si>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</si>
  <si>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</si>
  <si>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</si>
  <si>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</si>
  <si>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</si>
  <si>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</si>
  <si>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</si>
  <si>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</si>
  <si>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</si>
  <si>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</si>
  <si>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</si>
  <si>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</si>
  <si>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</si>
  <si>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</si>
  <si>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</si>
  <si>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</si>
  <si>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</si>
  <si>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</si>
  <si>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</si>
  <si>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</si>
  <si>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</si>
  <si>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</si>
  <si>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</si>
  <si>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</si>
  <si>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</si>
  <si>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</si>
  <si>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</si>
  <si>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</si>
  <si>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</si>
  <si>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</si>
  <si>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</si>
  <si>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</si>
  <si>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</si>
  <si>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</si>
  <si>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</si>
  <si>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</si>
  <si>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</si>
  <si>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</si>
  <si>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</si>
  <si>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</si>
  <si>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</si>
  <si>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</si>
  <si>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</si>
  <si>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</si>
  <si>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</si>
  <si>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</si>
  <si>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</si>
  <si>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</si>
  <si>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</si>
  <si>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</si>
  <si>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</si>
  <si>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</si>
  <si>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</si>
  <si>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</si>
  <si>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</si>
  <si>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</si>
  <si>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</si>
  <si>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</si>
  <si>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</si>
  <si>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</si>
  <si>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</si>
  <si>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</si>
  <si>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</si>
  <si>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</si>
  <si>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</si>
  <si>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</si>
  <si>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</si>
  <si>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</si>
  <si>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</si>
  <si>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</si>
  <si>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</si>
  <si>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</si>
  <si>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</si>
  <si>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</si>
  <si>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</si>
  <si>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</si>
  <si>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</si>
  <si>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</si>
  <si>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</si>
  <si>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</si>
  <si>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</si>
  <si>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</si>
  <si>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</si>
  <si>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</si>
  <si>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</si>
  <si>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</si>
  <si>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</si>
  <si>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</si>
  <si>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</si>
  <si>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</si>
  <si>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</si>
  <si>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</si>
  <si>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</si>
  <si>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</si>
  <si>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</si>
  <si>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</si>
  <si>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</si>
  <si>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</si>
  <si>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</si>
  <si>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</si>
  <si>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</si>
  <si>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</si>
  <si>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</si>
  <si>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</si>
  <si>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</si>
  <si>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</si>
  <si>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</si>
  <si>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</si>
  <si>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</si>
  <si>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</si>
  <si>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</si>
  <si>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</si>
  <si>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</si>
  <si>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</si>
  <si>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</si>
  <si>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</si>
  <si>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</si>
  <si>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</si>
  <si>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</si>
  <si>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</si>
  <si>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</si>
  <si>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</si>
  <si>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</si>
  <si>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</si>
  <si>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</si>
  <si>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</si>
  <si>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</si>
  <si>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</si>
  <si>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</si>
  <si>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</si>
  <si>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</si>
  <si>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</si>
  <si>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</si>
  <si>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</si>
  <si>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</si>
  <si>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</si>
  <si>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</si>
  <si>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</si>
  <si>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</si>
  <si>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</si>
  <si>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</si>
  <si>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</si>
  <si>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</si>
  <si>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</si>
  <si>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</si>
  <si>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</si>
  <si>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</si>
  <si>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</si>
  <si>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</si>
  <si>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</si>
  <si>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</si>
  <si>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</si>
  <si>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</si>
  <si>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</si>
  <si>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</si>
  <si>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</si>
  <si>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</si>
  <si>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</si>
  <si>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</si>
  <si>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</si>
  <si>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</si>
  <si>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</si>
  <si>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</si>
  <si>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</si>
  <si>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</si>
  <si>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</si>
  <si>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</si>
  <si>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</si>
  <si>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</si>
  <si>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</si>
  <si>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</si>
  <si>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</si>
  <si>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</si>
  <si>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</si>
  <si>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</si>
  <si>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</si>
  <si>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</si>
  <si>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</si>
  <si>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</si>
  <si>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</si>
  <si>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</si>
  <si>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</si>
  <si>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</si>
  <si>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</si>
  <si>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</si>
  <si>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</si>
  <si>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</si>
  <si>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</si>
  <si>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</si>
  <si>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</si>
  <si>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</si>
  <si>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</si>
  <si>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</si>
  <si>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</si>
  <si>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</si>
  <si>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</si>
  <si>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</si>
  <si>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</si>
  <si>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</si>
  <si>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</si>
  <si>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</si>
  <si>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</si>
  <si>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</si>
  <si>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</si>
  <si>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</si>
  <si>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</si>
  <si>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</si>
  <si>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</si>
  <si>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</si>
  <si>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</si>
  <si>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</si>
  <si>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</si>
  <si>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</si>
  <si>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</si>
  <si>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</si>
  <si>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</si>
  <si>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</si>
  <si>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</si>
  <si>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</si>
  <si>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</si>
  <si>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</si>
  <si>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</si>
  <si>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</si>
  <si>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</si>
  <si>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</si>
  <si>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</si>
  <si>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</si>
  <si>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</si>
  <si>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</si>
  <si>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</si>
  <si>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</si>
  <si>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</si>
  <si>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</si>
  <si>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</si>
  <si>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</si>
  <si>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</si>
  <si>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</si>
  <si>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</si>
  <si>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</si>
  <si>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</si>
  <si>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</si>
  <si>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</si>
  <si>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</si>
  <si>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</si>
  <si>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</si>
  <si>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</si>
  <si>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</si>
  <si>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</si>
  <si>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</si>
  <si>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</si>
  <si>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</si>
  <si>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</si>
  <si>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</si>
  <si>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</si>
  <si>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</si>
  <si>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</si>
  <si>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</si>
  <si>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</si>
  <si>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</si>
  <si>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</si>
  <si>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</si>
  <si>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</si>
  <si>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</si>
  <si>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</si>
  <si>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</si>
  <si>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</si>
  <si>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</si>
  <si>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</si>
  <si>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</si>
  <si>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</si>
  <si>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</si>
  <si>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</si>
  <si>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</si>
  <si>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</si>
  <si>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</si>
  <si>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</si>
  <si>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</si>
  <si>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</si>
  <si>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</si>
  <si>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</si>
  <si>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</si>
  <si>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</si>
  <si>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</si>
  <si>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</si>
  <si>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</si>
  <si>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</si>
  <si>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</si>
  <si>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</si>
  <si>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</si>
  <si>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</si>
  <si>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</si>
  <si>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</si>
  <si>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</si>
  <si>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</si>
  <si>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</si>
  <si>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</si>
  <si>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</si>
  <si>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</si>
  <si>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</si>
  <si>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</si>
  <si>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</si>
  <si>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</si>
  <si>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</si>
  <si>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</si>
  <si>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</si>
  <si>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</si>
  <si>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</si>
  <si>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</si>
  <si>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</si>
  <si>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</si>
  <si>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</si>
  <si>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</si>
  <si>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</si>
  <si>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</si>
  <si>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</si>
  <si>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</si>
  <si>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</si>
  <si>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</si>
  <si>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</si>
  <si>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</si>
  <si>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</si>
  <si>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</si>
  <si>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</si>
  <si>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</si>
  <si>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</si>
  <si>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</si>
  <si>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</si>
  <si>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</si>
  <si>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</si>
  <si>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</si>
  <si>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</si>
  <si>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</si>
  <si>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</si>
  <si>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</si>
  <si>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</si>
  <si>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</si>
  <si>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</si>
  <si>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</si>
  <si>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</si>
  <si>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</si>
  <si>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</si>
  <si>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</si>
  <si>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</si>
  <si>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</si>
  <si>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</si>
  <si>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</si>
  <si>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</si>
  <si>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</si>
  <si>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</si>
  <si>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</si>
  <si>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</si>
  <si>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</si>
  <si>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</si>
  <si>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</si>
  <si>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</si>
  <si>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</si>
  <si>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</si>
  <si>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</si>
  <si>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</si>
  <si>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</si>
  <si>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</si>
  <si>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</si>
  <si>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</si>
  <si>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</si>
  <si>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</si>
  <si>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</si>
  <si>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</si>
  <si>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</si>
  <si>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</si>
  <si>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</si>
  <si>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</si>
  <si>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</si>
  <si>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</si>
  <si>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</si>
  <si>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</si>
  <si>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</si>
  <si>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</si>
  <si>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</si>
  <si>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</si>
  <si>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</si>
  <si>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</si>
  <si>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</si>
  <si>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</si>
  <si>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</si>
  <si>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</si>
  <si>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</si>
  <si>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</si>
  <si>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</si>
  <si>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</si>
  <si>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</si>
  <si>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</si>
  <si>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</si>
  <si>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</si>
  <si>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</si>
  <si>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</si>
  <si>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</si>
  <si>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</si>
  <si>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</si>
  <si>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</si>
  <si>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</si>
  <si>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</si>
  <si>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</si>
  <si>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</si>
  <si>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</si>
  <si>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</si>
  <si>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</si>
  <si>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</si>
  <si>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</si>
  <si>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</si>
  <si>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</si>
  <si>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</si>
  <si>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</si>
  <si>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</si>
  <si>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</si>
  <si>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</si>
  <si>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</si>
  <si>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</si>
  <si>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</si>
  <si>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</si>
  <si>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</si>
  <si>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</si>
  <si>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</si>
  <si>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</si>
  <si>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</si>
  <si>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</si>
  <si>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</si>
  <si>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</si>
  <si>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</si>
  <si>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</si>
  <si>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</si>
  <si>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</si>
  <si>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</si>
  <si>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</si>
  <si>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</si>
  <si>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</si>
  <si>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</si>
  <si>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</si>
  <si>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</si>
  <si>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</si>
  <si>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</si>
  <si>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</si>
  <si>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</si>
  <si>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</si>
  <si>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</si>
  <si>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</si>
  <si>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</si>
  <si>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</si>
  <si>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</si>
  <si>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</si>
  <si>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</si>
  <si>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</si>
  <si>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</si>
  <si>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</si>
  <si>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</si>
  <si>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</si>
  <si>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</si>
  <si>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</si>
  <si>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</si>
  <si>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</si>
  <si>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</si>
  <si>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</si>
  <si>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</si>
  <si>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</si>
  <si>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</si>
  <si>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</si>
  <si>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</si>
  <si>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</si>
  <si>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</si>
  <si>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</si>
  <si>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</si>
  <si>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</si>
  <si>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</si>
  <si>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</si>
  <si>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</si>
  <si>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</si>
  <si>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</si>
  <si>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</si>
  <si>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</si>
  <si>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</si>
  <si>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</si>
  <si>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</si>
  <si>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</si>
  <si>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</si>
  <si>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</si>
  <si>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</si>
  <si>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</si>
  <si>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</si>
  <si>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</si>
  <si>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</si>
  <si>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</si>
  <si>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</si>
  <si>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</si>
  <si>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</si>
  <si>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</si>
  <si>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</si>
  <si>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</si>
  <si>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</si>
  <si>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</si>
  <si>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</si>
  <si>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</si>
  <si>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</si>
  <si>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</si>
  <si>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</si>
  <si>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</si>
  <si>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</si>
  <si>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</si>
  <si>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</si>
  <si>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</si>
  <si>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</si>
  <si>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</si>
  <si>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</si>
  <si>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</si>
  <si>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</si>
  <si>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</si>
  <si>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</si>
  <si>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</si>
  <si>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</si>
  <si>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</si>
  <si>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</si>
  <si>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</si>
  <si>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</si>
  <si>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</si>
  <si>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</si>
  <si>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</si>
  <si>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</si>
  <si>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</si>
  <si>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</si>
  <si>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</si>
  <si>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</si>
  <si>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</si>
  <si>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</si>
  <si>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</si>
  <si>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</si>
  <si>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</si>
  <si>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</si>
  <si>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</si>
  <si>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</si>
  <si>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</si>
  <si>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</si>
  <si>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</si>
  <si>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</si>
  <si>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</si>
  <si>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</si>
  <si>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</si>
  <si>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</si>
  <si>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</si>
  <si>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</si>
  <si>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</si>
  <si>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</si>
  <si>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</si>
  <si>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</si>
  <si>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</si>
  <si>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</si>
  <si>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</si>
  <si>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</si>
  <si>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</si>
  <si>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</si>
  <si>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</si>
  <si>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</si>
  <si>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</si>
  <si>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</si>
  <si>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</si>
  <si>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</si>
  <si>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</si>
  <si>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</si>
  <si>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</si>
  <si>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</si>
  <si>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</si>
  <si>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</si>
  <si>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</si>
  <si>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</si>
  <si>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</si>
  <si>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</si>
  <si>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</si>
  <si>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</si>
  <si>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</si>
  <si>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</si>
  <si>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</si>
  <si>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</si>
  <si>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</si>
  <si>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</si>
  <si>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</si>
  <si>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</si>
  <si>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</si>
  <si>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</si>
  <si>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</si>
  <si>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</si>
  <si>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</si>
  <si>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</si>
  <si>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</si>
  <si>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</si>
  <si>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</si>
  <si>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</si>
  <si>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</si>
  <si>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</si>
  <si>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</si>
  <si>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</si>
  <si>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</si>
  <si>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</si>
  <si>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</si>
  <si>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</si>
  <si>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</si>
  <si>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</si>
  <si>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</si>
  <si>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</si>
  <si>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</si>
  <si>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</si>
  <si>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</si>
  <si>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</si>
  <si>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</si>
  <si>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</si>
  <si>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</si>
  <si>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</si>
  <si>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</si>
  <si>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</si>
  <si>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</si>
  <si>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</si>
  <si>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</si>
  <si>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</si>
  <si>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</si>
  <si>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</si>
  <si>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</si>
  <si>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</si>
  <si>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</si>
  <si>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</si>
  <si>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</si>
  <si>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</si>
  <si>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</si>
  <si>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</si>
  <si>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</si>
  <si>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</si>
  <si>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</si>
  <si>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</si>
  <si>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</si>
  <si>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</si>
  <si>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</si>
  <si>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</si>
  <si>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</si>
  <si>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</si>
  <si>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</si>
  <si>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</si>
  <si>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</si>
  <si>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</si>
  <si>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</si>
  <si>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</si>
  <si>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</si>
  <si>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</si>
  <si>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</si>
  <si>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</si>
  <si>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</si>
  <si>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</si>
  <si>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</si>
  <si>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</si>
  <si>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</si>
  <si>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</si>
  <si>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</si>
  <si>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</si>
  <si>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</si>
  <si>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</si>
  <si>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</si>
  <si>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</si>
  <si>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</si>
  <si>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</si>
  <si>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</si>
  <si>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</si>
  <si>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</si>
  <si>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</si>
  <si>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</si>
  <si>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</si>
  <si>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</si>
  <si>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</si>
  <si>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</si>
  <si>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</si>
  <si>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</si>
  <si>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</si>
  <si>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</si>
  <si>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</si>
  <si>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</si>
  <si>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</si>
  <si>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</si>
  <si>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</si>
  <si>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</si>
  <si>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</si>
  <si>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</si>
  <si>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</si>
  <si>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</si>
  <si>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</si>
  <si>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</si>
  <si>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</si>
  <si>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</si>
  <si>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</si>
  <si>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</si>
  <si>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</si>
  <si>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</si>
  <si>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</si>
  <si>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</si>
  <si>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</si>
  <si>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</si>
  <si>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</si>
  <si>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</si>
  <si>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</si>
  <si>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</si>
  <si>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</si>
  <si>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</si>
  <si>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</si>
  <si>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</si>
  <si>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</si>
  <si>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</si>
  <si>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</si>
  <si>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</si>
  <si>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</si>
  <si>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</si>
  <si>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</si>
  <si>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</si>
  <si>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</si>
  <si>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</si>
  <si>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</si>
  <si>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</si>
  <si>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</si>
  <si>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</si>
  <si>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</si>
  <si>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</si>
  <si>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</si>
  <si>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</si>
  <si>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</si>
  <si>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</si>
  <si>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</si>
  <si>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</si>
  <si>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</si>
  <si>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</si>
  <si>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</si>
  <si>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</si>
  <si>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</si>
  <si>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</si>
  <si>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</si>
  <si>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</si>
  <si>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</si>
  <si>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</si>
  <si>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</si>
  <si>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</si>
  <si>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</si>
  <si>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</si>
  <si>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</si>
  <si>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</si>
  <si>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</si>
  <si>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</si>
  <si>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</si>
  <si>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</si>
  <si>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</si>
  <si>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</si>
  <si>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</si>
  <si>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</si>
  <si>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</si>
  <si>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</si>
  <si>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</si>
  <si>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</si>
  <si>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</si>
  <si>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</si>
  <si>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</si>
  <si>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</si>
  <si>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</si>
  <si>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</si>
  <si>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</si>
  <si>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</si>
  <si>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</si>
  <si>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</si>
  <si>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</si>
  <si>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</si>
  <si>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</si>
  <si>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</si>
  <si>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</si>
  <si>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</si>
  <si>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</si>
  <si>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</si>
  <si>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</si>
  <si>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</si>
  <si>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</si>
  <si>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</si>
  <si>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</si>
  <si>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</si>
  <si>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</si>
  <si>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</si>
  <si>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</si>
  <si>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</si>
  <si>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</si>
  <si>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</si>
  <si>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</si>
  <si>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</si>
  <si>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</si>
  <si>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</si>
  <si>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</si>
  <si>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</si>
  <si>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</si>
  <si>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</si>
  <si>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</si>
  <si>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</si>
  <si>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</si>
  <si>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</si>
  <si>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</si>
  <si>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</si>
  <si>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</si>
  <si>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</si>
  <si>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</si>
  <si>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</si>
  <si>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</si>
  <si>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</si>
  <si>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</si>
  <si>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</si>
  <si>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</si>
  <si>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</si>
  <si>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</si>
  <si>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</si>
  <si>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</si>
  <si>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</si>
  <si>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</si>
  <si>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</si>
  <si>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</si>
  <si>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</si>
  <si>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</si>
  <si>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</si>
  <si>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</si>
  <si>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</si>
  <si>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</si>
  <si>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</si>
  <si>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</si>
  <si>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</si>
  <si>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</si>
  <si>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</si>
  <si>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</si>
  <si>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</si>
  <si>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</si>
  <si>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</si>
  <si>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</si>
  <si>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</si>
  <si>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</si>
  <si>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</si>
  <si>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</si>
  <si>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</si>
  <si>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</si>
  <si>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</si>
  <si>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</si>
  <si>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</si>
  <si>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</si>
  <si>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</si>
  <si>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</si>
  <si>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</si>
  <si>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</si>
  <si>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</si>
  <si>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</si>
  <si>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</si>
  <si>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</si>
  <si>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</si>
  <si>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</si>
  <si>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</si>
  <si>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</si>
  <si>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</si>
  <si>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</si>
  <si>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</si>
  <si>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</si>
  <si>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</si>
  <si>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</si>
  <si>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</si>
  <si>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</si>
  <si>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</si>
  <si>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</si>
  <si>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</si>
  <si>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</si>
  <si>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</si>
  <si>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</si>
  <si>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</si>
  <si>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</si>
  <si>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</si>
  <si>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</si>
  <si>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</si>
  <si>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</si>
  <si>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</si>
  <si>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</si>
  <si>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</si>
  <si>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</si>
  <si>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</si>
  <si>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</si>
  <si>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</si>
  <si>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</si>
  <si>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</si>
  <si>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</si>
  <si>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</si>
  <si>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</si>
  <si>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</si>
  <si>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</si>
  <si>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</si>
  <si>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</si>
  <si>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</si>
  <si>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</si>
  <si>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</si>
  <si>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</si>
  <si>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</si>
  <si>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</si>
  <si>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</si>
  <si>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</si>
  <si>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</si>
  <si>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</si>
  <si>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</si>
  <si>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</si>
  <si>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</si>
  <si>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</si>
  <si>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</si>
  <si>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</si>
  <si>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</si>
  <si>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</si>
  <si>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</si>
  <si>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</si>
  <si>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</si>
  <si>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</si>
  <si>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</si>
  <si>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</si>
  <si>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</si>
  <si>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</si>
  <si>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</si>
  <si>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</si>
  <si>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</si>
  <si>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</si>
  <si>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</si>
  <si>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</si>
  <si>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</si>
  <si>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</si>
  <si>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</si>
  <si>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</si>
  <si>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</si>
  <si>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</si>
  <si>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</si>
  <si>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</si>
  <si>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</si>
  <si>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</si>
  <si>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</si>
  <si>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</si>
  <si>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</si>
  <si>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</si>
  <si>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</si>
  <si>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</si>
  <si>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</si>
  <si>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</si>
  <si>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</si>
  <si>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</si>
  <si>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</si>
  <si>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</si>
  <si>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</si>
  <si>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</si>
  <si>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</si>
  <si>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</si>
  <si>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</si>
  <si>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</si>
  <si>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</si>
  <si>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</si>
  <si>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</si>
  <si>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</si>
  <si>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</si>
  <si>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</si>
  <si>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</si>
  <si>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</si>
  <si>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</si>
  <si>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</si>
  <si>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</si>
  <si>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</si>
  <si>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</si>
  <si>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</si>
  <si>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</si>
  <si>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</si>
  <si>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</si>
  <si>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</si>
  <si>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</si>
  <si>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</si>
  <si>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</si>
  <si>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</si>
  <si>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</si>
  <si>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</si>
  <si>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</si>
  <si>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</si>
  <si>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</si>
  <si>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</si>
  <si>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</si>
  <si>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</si>
  <si>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</si>
  <si>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</si>
  <si>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</si>
  <si>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</si>
  <si>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</si>
  <si>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</si>
  <si>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</si>
  <si>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</si>
  <si>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</si>
  <si>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</si>
  <si>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</si>
  <si>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</si>
  <si>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</si>
  <si>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</si>
  <si>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</si>
  <si>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</si>
  <si>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</si>
  <si>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</si>
  <si>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</si>
  <si>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</si>
  <si>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</si>
  <si>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</si>
  <si>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</si>
  <si>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</si>
  <si>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</si>
  <si>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</si>
  <si>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</si>
  <si>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</si>
  <si>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</si>
  <si>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</si>
  <si>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</si>
  <si>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</si>
  <si>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</si>
  <si>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</si>
  <si>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</si>
  <si>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</si>
  <si>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</si>
  <si>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</si>
  <si>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</si>
  <si>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</si>
  <si>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</si>
  <si>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</si>
  <si>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</si>
  <si>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</si>
  <si>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</si>
  <si>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</si>
  <si>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</si>
  <si>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</si>
  <si>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</si>
  <si>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</si>
  <si>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</si>
  <si>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</si>
  <si>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</si>
  <si>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</si>
  <si>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</si>
  <si>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</si>
  <si>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</si>
  <si>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</si>
  <si>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</si>
  <si>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</si>
  <si>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</si>
  <si>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</si>
  <si>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</si>
  <si>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</si>
  <si>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</si>
  <si>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</si>
  <si>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</si>
  <si>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</si>
  <si>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</si>
  <si>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</si>
  <si>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</si>
  <si>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</si>
  <si>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</si>
  <si>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</si>
  <si>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</si>
  <si>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</si>
  <si>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</si>
  <si>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</si>
  <si>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</si>
  <si>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</si>
  <si>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</si>
  <si>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</si>
  <si>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</si>
  <si>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</si>
  <si>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</si>
  <si>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</si>
  <si>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</si>
  <si>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</si>
  <si>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</si>
  <si>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</si>
  <si>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</si>
  <si>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</si>
  <si>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</si>
  <si>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</si>
  <si>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</si>
  <si>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</si>
  <si>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</si>
  <si>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</si>
  <si>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</si>
  <si>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</si>
  <si>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</si>
  <si>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</si>
  <si>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</si>
  <si>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</si>
  <si>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</si>
  <si>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</si>
  <si>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</si>
  <si>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</si>
  <si>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</si>
  <si>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</si>
  <si>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</si>
  <si>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</si>
  <si>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</si>
  <si>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</si>
  <si>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</si>
  <si>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</si>
  <si>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</si>
  <si>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</si>
  <si>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</si>
  <si>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</si>
  <si>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</si>
  <si>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</si>
  <si>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</si>
  <si>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</si>
  <si>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</si>
  <si>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</si>
  <si>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</si>
  <si>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</si>
  <si>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</si>
  <si>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</si>
  <si>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</si>
  <si>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</si>
  <si>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</si>
  <si>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</si>
  <si>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</si>
  <si>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</si>
  <si>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</si>
  <si>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</si>
  <si>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</si>
  <si>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</si>
  <si>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</si>
  <si>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</si>
  <si>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</si>
  <si>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</si>
  <si>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</si>
  <si>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</si>
  <si>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</si>
  <si>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</si>
  <si>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</si>
  <si>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</si>
  <si>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</si>
  <si>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</si>
  <si>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</si>
  <si>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</si>
  <si>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</si>
  <si>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</si>
  <si>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</si>
  <si>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</si>
  <si>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</si>
  <si>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</si>
  <si>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</si>
  <si>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</si>
  <si>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</si>
  <si>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</si>
  <si>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</si>
  <si>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</si>
  <si>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</si>
  <si>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</si>
  <si>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</si>
  <si>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</si>
  <si>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</si>
  <si>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</si>
  <si>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</si>
  <si>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</si>
  <si>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</si>
  <si>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</si>
  <si>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</si>
  <si>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</si>
  <si>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</si>
  <si>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</si>
  <si>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</si>
  <si>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</si>
  <si>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</si>
  <si>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</si>
  <si>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</si>
  <si>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</si>
  <si>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</si>
  <si>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</si>
  <si>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</si>
  <si>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</si>
  <si>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</si>
  <si>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</si>
  <si>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</si>
  <si>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</si>
  <si>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</si>
  <si>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</si>
  <si>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</si>
  <si>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</si>
  <si>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</si>
  <si>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</si>
  <si>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</si>
  <si>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</si>
  <si>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</si>
  <si>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</si>
  <si>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</si>
  <si>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</si>
  <si>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</si>
  <si>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</si>
  <si>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</si>
  <si>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</si>
  <si>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</si>
  <si>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</si>
  <si>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</si>
  <si>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</si>
  <si>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</si>
  <si>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</si>
  <si>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</si>
  <si>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</si>
  <si>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</si>
  <si>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</si>
  <si>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</si>
  <si>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</si>
  <si>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</si>
  <si>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</si>
  <si>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</si>
  <si>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</si>
  <si>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</si>
  <si>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</si>
  <si>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</si>
  <si>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</si>
  <si>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</si>
  <si>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</si>
  <si>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</si>
  <si>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</si>
  <si>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</si>
  <si>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</si>
  <si>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</si>
  <si>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</si>
  <si>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</si>
  <si>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</si>
  <si>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</si>
  <si>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</si>
  <si>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</si>
  <si>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</si>
  <si>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</si>
  <si>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</si>
  <si>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</si>
  <si>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</si>
  <si>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</si>
  <si>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</si>
  <si>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</si>
  <si>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</si>
  <si>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</si>
  <si>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</si>
  <si>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</si>
  <si>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</si>
  <si>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</si>
  <si>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</si>
  <si>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</si>
  <si>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</si>
  <si>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</si>
  <si>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</si>
  <si>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</si>
  <si>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</si>
  <si>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</si>
  <si>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</si>
  <si>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</si>
  <si>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</si>
  <si>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</si>
  <si>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</si>
  <si>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</si>
  <si>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</si>
  <si>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</si>
  <si>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</si>
  <si>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</si>
  <si>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</si>
  <si>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</si>
  <si>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</si>
  <si>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</si>
  <si>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</si>
  <si>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</si>
  <si>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</si>
  <si>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</si>
  <si>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</si>
  <si>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</si>
  <si>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</si>
  <si>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</si>
  <si>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</si>
  <si>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</si>
  <si>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</si>
  <si>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</si>
  <si>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</si>
  <si>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</si>
  <si>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</si>
  <si>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</si>
  <si>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</si>
  <si>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</si>
  <si>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</si>
  <si>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</si>
  <si>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</si>
  <si>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</si>
  <si>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</si>
  <si>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</si>
  <si>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</si>
  <si>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</si>
  <si>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</si>
  <si>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</si>
  <si>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</si>
  <si>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</si>
  <si>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</si>
  <si>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</si>
  <si>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</si>
  <si>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</si>
  <si>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</si>
  <si>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</si>
  <si>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</si>
  <si>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</si>
  <si>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</si>
  <si>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</si>
  <si>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</si>
  <si>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</si>
  <si>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</si>
  <si>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</si>
  <si>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</si>
  <si>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</si>
  <si>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</si>
  <si>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</si>
  <si>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</si>
  <si>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</si>
  <si>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</si>
  <si>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</si>
  <si>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</si>
  <si>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</si>
  <si>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</si>
  <si>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</si>
  <si>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</si>
  <si>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</si>
  <si>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</si>
  <si>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</si>
  <si>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</si>
  <si>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</si>
  <si>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</si>
  <si>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</si>
  <si>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</si>
  <si>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</si>
  <si>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</si>
  <si>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</si>
  <si>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</si>
  <si>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</si>
  <si>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</si>
  <si>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</si>
  <si>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</si>
  <si>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</si>
  <si>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</si>
  <si>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</si>
  <si>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</si>
  <si>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</si>
  <si>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</si>
  <si>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</si>
  <si>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</si>
  <si>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</si>
  <si>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</si>
  <si>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</si>
  <si>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</si>
  <si>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</si>
  <si>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</si>
  <si>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</si>
  <si>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</si>
  <si>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</si>
  <si>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</si>
  <si>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</si>
  <si>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</si>
  <si>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</si>
  <si>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</si>
  <si>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</si>
  <si>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</si>
  <si>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</si>
  <si>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</si>
  <si>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</si>
  <si>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</si>
  <si>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</si>
  <si>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</si>
  <si>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</si>
  <si>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</si>
  <si>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</si>
  <si>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</si>
  <si>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</si>
  <si>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</si>
  <si>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</si>
  <si>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</si>
  <si>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</si>
  <si>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</si>
  <si>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</si>
  <si>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</si>
  <si>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</si>
  <si>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</si>
  <si>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</si>
  <si>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</si>
  <si>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</si>
  <si>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</si>
  <si>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</si>
  <si>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</si>
  <si>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</si>
  <si>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</si>
  <si>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</si>
  <si>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</si>
  <si>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</si>
  <si>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</si>
  <si>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</si>
  <si>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</si>
  <si>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</si>
  <si>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</si>
  <si>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</si>
  <si>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</si>
  <si>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</si>
  <si>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</si>
  <si>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</si>
  <si>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</si>
  <si>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</si>
  <si>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</si>
  <si>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</si>
  <si>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</si>
  <si>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</si>
  <si>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</si>
  <si>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</si>
  <si>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</si>
  <si>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</si>
  <si>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</si>
  <si>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</si>
  <si>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</si>
  <si>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</si>
  <si>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</si>
  <si>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</si>
  <si>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</si>
  <si>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</si>
  <si>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</si>
  <si>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</si>
  <si>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</si>
  <si>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</si>
  <si>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</si>
  <si>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</si>
  <si>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</si>
  <si>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</si>
  <si>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</si>
  <si>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</si>
  <si>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</si>
  <si>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</si>
  <si>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</si>
  <si>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</si>
  <si>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</si>
  <si>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</si>
  <si>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</si>
  <si>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</si>
  <si>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</si>
  <si>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</si>
  <si>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</si>
  <si>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</si>
  <si>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</si>
  <si>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</si>
  <si>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</si>
  <si>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</si>
  <si>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</si>
  <si>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</si>
  <si>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</si>
  <si>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</si>
  <si>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</si>
  <si>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</si>
  <si>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</si>
  <si>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</si>
  <si>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</si>
  <si>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</si>
  <si>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</si>
  <si>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</si>
  <si>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</si>
  <si>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</si>
  <si>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</si>
  <si>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</si>
  <si>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</si>
  <si>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</si>
  <si>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</si>
  <si>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</si>
  <si>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</si>
  <si>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</si>
  <si>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</si>
  <si>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</si>
  <si>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</si>
  <si>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</si>
  <si>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</si>
  <si>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</si>
  <si>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</si>
  <si>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</si>
  <si>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</si>
  <si>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</si>
  <si>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</si>
  <si>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</si>
  <si>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</si>
  <si>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</si>
  <si>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</si>
  <si>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</si>
  <si>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</si>
  <si>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</si>
  <si>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</si>
  <si>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</si>
  <si>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</si>
  <si>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</si>
  <si>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</si>
  <si>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</si>
  <si>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</si>
  <si>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</si>
  <si>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</si>
  <si>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</si>
  <si>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</si>
  <si>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</si>
  <si>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</si>
  <si>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</si>
  <si>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</si>
  <si>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</si>
  <si>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</si>
  <si>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</si>
  <si>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</si>
  <si>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</si>
  <si>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</si>
  <si>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</si>
  <si>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</si>
  <si>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</si>
  <si>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</si>
  <si>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</si>
  <si>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</si>
  <si>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</si>
  <si>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</si>
  <si>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</si>
  <si>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</si>
  <si>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</si>
  <si>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</si>
  <si>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</si>
  <si>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</si>
  <si>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</si>
  <si>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</si>
  <si>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</si>
  <si>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</si>
  <si>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</si>
  <si>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</si>
  <si>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</si>
  <si>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</si>
  <si>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</si>
  <si>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</si>
  <si>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</si>
  <si>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</si>
  <si>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</si>
  <si>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</si>
  <si>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</si>
  <si>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</si>
  <si>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</si>
  <si>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</si>
  <si>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</si>
  <si>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</si>
  <si>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</si>
  <si>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</si>
  <si>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</si>
  <si>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</si>
  <si>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</si>
  <si>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</si>
  <si>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</si>
  <si>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</si>
  <si>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</si>
  <si>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</si>
  <si>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</si>
  <si>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</si>
  <si>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</si>
  <si>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</si>
  <si>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</si>
  <si>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</si>
  <si>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</si>
  <si>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</si>
  <si>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</si>
  <si>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</si>
  <si>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</si>
  <si>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</si>
  <si>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</si>
  <si>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</si>
  <si>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</si>
  <si>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</si>
  <si>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</si>
  <si>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</si>
  <si>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</si>
  <si>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</si>
  <si>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</si>
  <si>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</si>
  <si>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</si>
  <si>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</si>
  <si>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</si>
  <si>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</si>
  <si>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</si>
  <si>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</si>
  <si>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</si>
  <si>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</si>
  <si>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</si>
  <si>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</si>
  <si>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</si>
  <si>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</si>
  <si>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</si>
  <si>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</si>
  <si>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</si>
  <si>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</si>
  <si>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</si>
  <si>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</si>
  <si>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</si>
  <si>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</si>
  <si>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</si>
  <si>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</si>
  <si>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</si>
  <si>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</si>
  <si>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</si>
  <si>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</si>
  <si>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</si>
  <si>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</si>
  <si>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</si>
  <si>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</si>
  <si>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</si>
  <si>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</si>
  <si>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</si>
  <si>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</si>
  <si>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</si>
  <si>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</si>
  <si>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</si>
  <si>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</si>
  <si>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</si>
  <si>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</si>
  <si>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</si>
  <si>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</si>
  <si>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</si>
  <si>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</si>
  <si>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</si>
  <si>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</si>
  <si>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</si>
  <si>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</si>
  <si>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</si>
  <si>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</si>
  <si>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</si>
  <si>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</si>
  <si>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</si>
  <si>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</si>
  <si>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</si>
  <si>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</si>
  <si>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</si>
  <si>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</si>
  <si>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</si>
  <si>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</si>
  <si>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</si>
  <si>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</si>
  <si>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</si>
  <si>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</si>
  <si>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</si>
  <si>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</si>
  <si>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</si>
  <si>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</si>
  <si>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</si>
  <si>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</si>
  <si>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</si>
  <si>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</si>
  <si>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</si>
  <si>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</si>
  <si>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</si>
  <si>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</si>
  <si>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</si>
  <si>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</si>
  <si>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</si>
  <si>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</si>
  <si>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</si>
  <si>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</si>
  <si>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</si>
  <si>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</si>
  <si>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</si>
  <si>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</si>
  <si>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</si>
  <si>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</si>
  <si>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</si>
  <si>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</si>
  <si>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</si>
  <si>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</si>
  <si>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</si>
  <si>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</si>
  <si>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</si>
  <si>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</si>
  <si>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</si>
  <si>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</si>
  <si>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</si>
  <si>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</si>
  <si>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</si>
  <si>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</si>
  <si>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</si>
  <si>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</si>
  <si>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</si>
  <si>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</si>
  <si>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</si>
  <si>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</si>
  <si>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</si>
  <si>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</si>
  <si>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</si>
  <si>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</si>
  <si>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</si>
  <si>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</si>
  <si>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</si>
  <si>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</si>
  <si>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</si>
  <si>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</si>
  <si>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</si>
  <si>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</si>
  <si>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</si>
  <si>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</si>
  <si>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</si>
  <si>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</si>
  <si>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</si>
  <si>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</si>
  <si>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</si>
  <si>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</si>
  <si>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</si>
  <si>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</si>
  <si>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</si>
  <si>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</si>
  <si>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</si>
  <si>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</si>
  <si>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</si>
  <si>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</si>
  <si>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</si>
  <si>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</si>
  <si>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</si>
  <si>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</si>
  <si>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</si>
  <si>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</si>
  <si>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</si>
  <si>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</si>
  <si>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</si>
  <si>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</si>
  <si>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</si>
  <si>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</si>
  <si>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</si>
  <si>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</si>
  <si>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</si>
  <si>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</si>
  <si>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</si>
  <si>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</si>
  <si>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</si>
  <si>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</si>
  <si>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</si>
  <si>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</si>
  <si>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</si>
  <si>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</si>
  <si>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</si>
  <si>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</si>
  <si>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</si>
  <si>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</si>
  <si>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</si>
  <si>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</si>
  <si>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</si>
  <si>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</si>
  <si>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</si>
  <si>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</si>
  <si>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</si>
  <si>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</si>
  <si>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</si>
  <si>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</si>
  <si>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</si>
  <si>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</si>
  <si>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</si>
  <si>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</si>
  <si>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</si>
  <si>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</si>
  <si>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</si>
  <si>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</si>
  <si>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</si>
  <si>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</si>
  <si>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</si>
  <si>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</si>
  <si>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</si>
  <si>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</si>
  <si>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</si>
  <si>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</si>
  <si>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</si>
  <si>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</si>
  <si>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</si>
  <si>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</si>
  <si>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</si>
  <si>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</si>
  <si>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</si>
  <si>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</si>
  <si>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</si>
  <si>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</si>
  <si>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</si>
  <si>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</si>
  <si>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</si>
  <si>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</si>
  <si>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</si>
  <si>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</si>
  <si>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</si>
  <si>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</si>
  <si>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</si>
  <si>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</si>
  <si>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</si>
  <si>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</si>
  <si>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</si>
  <si>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</si>
  <si>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</si>
  <si>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</si>
  <si>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</si>
  <si>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</si>
  <si>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</si>
  <si>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</si>
  <si>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</si>
  <si>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</si>
  <si>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</si>
  <si>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</si>
  <si>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</si>
  <si>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</si>
  <si>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</si>
  <si>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</si>
  <si>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</si>
  <si>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</si>
  <si>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</si>
  <si>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</si>
  <si>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</si>
  <si>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</si>
  <si>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</si>
  <si>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</si>
  <si>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</si>
  <si>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</si>
  <si>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</si>
  <si>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</si>
  <si>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</si>
  <si>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</si>
  <si>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</si>
  <si>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</si>
  <si>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</si>
  <si>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</si>
  <si>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</si>
  <si>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</si>
  <si>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</si>
  <si>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</si>
  <si>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</si>
  <si>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</si>
  <si>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</si>
  <si>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</si>
  <si>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</si>
  <si>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</si>
  <si>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</si>
  <si>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</si>
  <si>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</si>
  <si>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</si>
  <si>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</si>
  <si>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</si>
  <si>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</si>
  <si>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</si>
  <si>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</si>
  <si>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</si>
  <si>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</si>
  <si>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</si>
  <si>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</si>
  <si>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</si>
  <si>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</si>
  <si>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</si>
  <si>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</si>
  <si>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</si>
  <si>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</si>
  <si>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</si>
  <si>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</si>
  <si>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</si>
  <si>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</si>
  <si>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</si>
  <si>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</si>
  <si>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</si>
  <si>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</si>
  <si>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</si>
  <si>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</si>
  <si>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</si>
  <si>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</si>
  <si>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</si>
  <si>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</si>
  <si>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</si>
  <si>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</si>
  <si>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</si>
  <si>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</si>
  <si>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</si>
  <si>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</si>
  <si>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</si>
  <si>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</si>
  <si>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</si>
  <si>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</si>
  <si>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</si>
  <si>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</si>
  <si>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</si>
  <si>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</si>
  <si>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</si>
  <si>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</si>
  <si>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</si>
  <si>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</si>
  <si>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</si>
  <si>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</si>
  <si>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</si>
  <si>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</si>
  <si>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</si>
  <si>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</si>
  <si>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</si>
  <si>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</si>
  <si>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</si>
  <si>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</si>
  <si>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</si>
  <si>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</si>
  <si>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</si>
  <si>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</si>
  <si>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</si>
  <si>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</si>
  <si>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</si>
  <si>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</si>
  <si>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</si>
  <si>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</si>
  <si>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</si>
  <si>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</si>
  <si>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</si>
  <si>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</si>
  <si>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</si>
  <si>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</si>
  <si>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</si>
  <si>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</si>
  <si>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</si>
  <si>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</si>
  <si>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</si>
  <si>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</si>
  <si>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</si>
  <si>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</si>
  <si>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</si>
  <si>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</si>
  <si>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</si>
  <si>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</si>
  <si>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</si>
  <si>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</si>
  <si>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</si>
  <si>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</si>
  <si>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</si>
  <si>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</si>
  <si>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</si>
  <si>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</si>
  <si>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</si>
  <si>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</si>
  <si>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</si>
  <si>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</si>
  <si>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</si>
  <si>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</si>
  <si>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</si>
  <si>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</si>
  <si>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</si>
  <si>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</si>
  <si>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</si>
  <si>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</si>
  <si>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</si>
  <si>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</si>
  <si>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</si>
  <si>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</si>
  <si>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</si>
  <si>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</si>
  <si>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</si>
  <si>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</si>
  <si>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</si>
  <si>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</si>
  <si>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</si>
  <si>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</si>
  <si>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</si>
  <si>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</si>
  <si>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</si>
  <si>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</si>
  <si>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</si>
  <si>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</si>
  <si>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</si>
  <si>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</si>
  <si>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</si>
  <si>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</si>
  <si>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</si>
  <si>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</si>
  <si>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</si>
  <si>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</si>
  <si>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</si>
  <si>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</si>
  <si>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</si>
  <si>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</si>
  <si>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</si>
  <si>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</si>
  <si>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</si>
  <si>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</si>
  <si>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</si>
  <si>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</si>
  <si>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</si>
  <si>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</si>
  <si>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</si>
  <si>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</si>
  <si>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</si>
  <si>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</si>
  <si>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</si>
  <si>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</si>
  <si>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</si>
  <si>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</si>
  <si>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</si>
  <si>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</si>
  <si>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</si>
  <si>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</si>
  <si>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</si>
  <si>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</si>
  <si>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</si>
  <si>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</si>
  <si>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</si>
  <si>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</si>
  <si>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</si>
  <si>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</si>
  <si>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</si>
  <si>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</si>
  <si>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</si>
  <si>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</si>
  <si>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</si>
  <si>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</si>
  <si>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</si>
  <si>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</si>
  <si>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</si>
  <si>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</si>
  <si>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</si>
  <si>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</si>
  <si>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</si>
  <si>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</si>
  <si>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</si>
  <si>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</si>
  <si>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</si>
  <si>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</si>
  <si>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</si>
  <si>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</si>
  <si>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</si>
  <si>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</si>
  <si>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</si>
  <si>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</si>
  <si>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</si>
  <si>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</si>
  <si>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</si>
  <si>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</si>
  <si>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</si>
  <si>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</si>
  <si>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</si>
  <si>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</si>
  <si>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</si>
  <si>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</si>
  <si>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</si>
  <si>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</si>
  <si>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</si>
  <si>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</si>
  <si>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</si>
  <si>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</si>
  <si>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</si>
  <si>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</si>
  <si>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</si>
  <si>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</si>
  <si>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</si>
  <si>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</si>
  <si>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</si>
  <si>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</si>
  <si>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</si>
  <si>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</si>
  <si>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</si>
  <si>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</si>
  <si>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</si>
  <si>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</si>
  <si>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</si>
  <si>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</si>
  <si>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</si>
  <si>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</si>
  <si>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</si>
  <si>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</si>
  <si>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</si>
  <si>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</si>
  <si>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</si>
  <si>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</si>
  <si>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</si>
  <si>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</si>
  <si>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</si>
  <si>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</si>
  <si>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</si>
  <si>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</si>
  <si>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</si>
  <si>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</si>
  <si>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</si>
  <si>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</si>
  <si>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</si>
  <si>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</si>
  <si>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</si>
  <si>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</si>
  <si>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</si>
  <si>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</si>
  <si>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</si>
  <si>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</si>
  <si>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</si>
  <si>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</si>
  <si>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</si>
  <si>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</si>
  <si>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</si>
  <si>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</si>
  <si>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</si>
  <si>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</si>
  <si>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</si>
  <si>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</si>
  <si>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</si>
  <si>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</si>
  <si>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</si>
  <si>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</si>
  <si>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</si>
  <si>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</si>
  <si>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</si>
  <si>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</si>
  <si>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</si>
  <si>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</si>
  <si>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</si>
  <si>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</si>
  <si>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</si>
  <si>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</si>
  <si>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</si>
  <si>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</si>
  <si>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</si>
  <si>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</si>
  <si>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</si>
  <si>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</si>
  <si>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</si>
  <si>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</si>
  <si>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</si>
  <si>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</si>
  <si>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</si>
  <si>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</si>
  <si>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</si>
  <si>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</si>
  <si>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</si>
  <si>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</si>
  <si>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</si>
  <si>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</si>
  <si>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</si>
  <si>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</si>
  <si>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</si>
  <si>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</si>
  <si>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</si>
  <si>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</si>
  <si>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</si>
  <si>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</si>
  <si>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</si>
  <si>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</si>
  <si>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</si>
  <si>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</si>
  <si>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</si>
  <si>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</si>
  <si>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</si>
  <si>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</si>
  <si>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</si>
  <si>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</si>
  <si>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</si>
  <si>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</si>
  <si>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</si>
  <si>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</si>
  <si>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</si>
  <si>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</si>
  <si>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</si>
  <si>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</si>
  <si>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</si>
  <si>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</si>
  <si>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</si>
  <si>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</si>
  <si>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</si>
  <si>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</si>
  <si>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</si>
  <si>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</si>
  <si>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</si>
  <si>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</si>
  <si>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</si>
  <si>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</si>
  <si>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</si>
  <si>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</si>
  <si>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</si>
  <si>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</si>
  <si>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</si>
  <si>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</si>
  <si>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</si>
  <si>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</si>
  <si>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</si>
  <si>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</si>
  <si>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</si>
  <si>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</si>
  <si>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</si>
  <si>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</si>
  <si>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</si>
  <si>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</si>
  <si>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</si>
  <si>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</si>
  <si>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</si>
  <si>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</si>
  <si>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</si>
  <si>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</si>
  <si>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</si>
  <si>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</si>
  <si>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</si>
  <si>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</si>
  <si>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</si>
  <si>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</si>
  <si>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</si>
  <si>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</si>
  <si>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</si>
  <si>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</si>
  <si>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</si>
  <si>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</si>
  <si>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</si>
  <si>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</si>
  <si>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</si>
  <si>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</si>
  <si>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</si>
  <si>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</si>
  <si>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</si>
  <si>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</si>
  <si>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</si>
  <si>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</si>
  <si>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</si>
  <si>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</si>
  <si>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</si>
  <si>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</si>
  <si>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</si>
  <si>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</si>
  <si>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</si>
  <si>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</si>
  <si>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</si>
  <si>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</si>
  <si>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</si>
  <si>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</si>
  <si>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</si>
  <si>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</si>
  <si>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</si>
  <si>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</si>
  <si>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</si>
  <si>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</si>
  <si>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</si>
  <si>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</si>
  <si>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</si>
  <si>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</si>
  <si>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</si>
  <si>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</si>
  <si>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</si>
  <si>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</si>
  <si>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</si>
  <si>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</si>
  <si>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</si>
  <si>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</si>
  <si>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</si>
  <si>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</si>
  <si>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</si>
  <si>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</si>
  <si>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</si>
  <si>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</si>
  <si>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</si>
  <si>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</si>
  <si>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</si>
  <si>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</si>
  <si>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</si>
  <si>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</si>
  <si>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</si>
  <si>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</si>
  <si>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</si>
  <si>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</si>
  <si>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</si>
  <si>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</si>
  <si>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</si>
  <si>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</si>
  <si>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</si>
  <si>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</si>
  <si>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</si>
  <si>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</si>
  <si>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</si>
  <si>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</si>
  <si>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</si>
  <si>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</si>
  <si>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</si>
  <si>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</si>
  <si>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</si>
  <si>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</si>
  <si>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</si>
  <si>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iMaXX Companies</t>
  </si>
  <si>
    <t>Gerben Huizenga</t>
  </si>
  <si>
    <t>compliance@imaxx.nl</t>
  </si>
  <si>
    <t>(+31) 078 69 111 71</t>
  </si>
  <si>
    <t>gerben.huizenga@imaxx.nl</t>
  </si>
  <si>
    <t>in alloys designed for electrical conductivity</t>
  </si>
  <si>
    <t>in alloys or as plating material</t>
  </si>
  <si>
    <t>https://imaxx.nl/documents/code-of-conduct/</t>
  </si>
  <si>
    <t>Mitsubishi Materials Corporation Metal Company</t>
  </si>
  <si>
    <t>Linyi Jinsheng Copper Industry Co., Ltd</t>
  </si>
  <si>
    <t>Jinchuan Group Nickel Cobalt Co., Ltd</t>
  </si>
  <si>
    <t>Empresa Nacional de Mineria</t>
  </si>
  <si>
    <t>61703000-4</t>
  </si>
  <si>
    <t>R.U.T.</t>
  </si>
  <si>
    <t>Copili 260</t>
  </si>
  <si>
    <t>Atacama region</t>
  </si>
  <si>
    <t>PASAR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</si>
</sst>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70"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imaxx.nl/documents/code-of-conduct/" TargetMode="External"/><Relationship Id="rId2" Type="http://schemas.openxmlformats.org/officeDocument/2006/relationships/hyperlink" Target="mailto:gerben.huizenga@imaxx.nl" TargetMode="External"/><Relationship Id="rId1" Type="http://schemas.openxmlformats.org/officeDocument/2006/relationships/hyperlink" Target="mailto:compliance@imaxx.nl"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7FDF301A-DAA9-4107-AB0A-B1528D8C6E2B}"/>
    </customSheetView>
    <customSheetView guid="{4BDF1A28-30D5-449D-B20E-D6C97EF9FAE1}" showAutoFilter="1">
      <selection activeCell="C174" sqref="C174"/>
      <pageMargins left="0" right="0" top="0" bottom="0" header="0" footer="0"/>
      <pageSetup paperSize="9" orientation="portrait"/>
      <autoFilter ref="B1:N1" xr:uid="{8532A20B-B30A-4989-A108-1BE46C9B061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5D35537C-C063-48EA-B544-1D67F6500B1C}"/>
    </customSheetView>
    <customSheetView guid="{4BDF1A28-30D5-449D-B20E-D6C97EF9FAE1}" showAutoFilter="1">
      <selection activeCell="C1" sqref="C1:D65536"/>
      <pageMargins left="0" right="0" top="0" bottom="0" header="0" footer="0"/>
      <pageSetup orientation="portrait"/>
      <autoFilter ref="B1:C1" xr:uid="{54EAF1C8-FAF2-4CD1-8E0B-CED6930C003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19180</v>
      </c>
      <c r="E12" s="458" t="s">
        <v>18684</v>
      </c>
      <c r="F12" s="459"/>
      <c r="G12" s="370" t="s">
        <v>19182</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8" t="s">
        <v>19184</v>
      </c>
      <c r="F13" s="459"/>
      <c r="G13" s="370" t="s">
        <v>18685</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20162</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20163</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20164</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20162</v>
      </c>
      <c r="E22" s="426"/>
      <c r="F22" s="426"/>
      <c r="G22" s="426"/>
      <c r="H22" s="426"/>
      <c r="I22" s="426"/>
      <c r="J22" s="427"/>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25"/>
      <c r="E23" s="426"/>
      <c r="F23" s="426"/>
      <c r="G23" s="426"/>
      <c r="H23" s="426"/>
      <c r="I23" s="426"/>
      <c r="J23" s="427"/>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20165</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45961</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Copper(*)</v>
      </c>
      <c r="C30" s="28"/>
      <c r="D30" s="404" t="s">
        <v>25</v>
      </c>
      <c r="E30" s="405"/>
      <c r="F30" s="8"/>
      <c r="G30" s="406" t="s">
        <v>20166</v>
      </c>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Nickel(*)</v>
      </c>
      <c r="C31" s="28"/>
      <c r="D31" s="404" t="s">
        <v>25</v>
      </c>
      <c r="E31" s="405"/>
      <c r="F31" s="8"/>
      <c r="G31" s="406" t="s">
        <v>20167</v>
      </c>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Copper(*)</v>
      </c>
      <c r="C42" s="28"/>
      <c r="D42" s="404" t="s">
        <v>25</v>
      </c>
      <c r="E42" s="405"/>
      <c r="F42" s="8"/>
      <c r="G42" s="406" t="s">
        <v>20166</v>
      </c>
      <c r="H42" s="407"/>
      <c r="I42" s="407"/>
      <c r="J42" s="408"/>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Nickel(*)</v>
      </c>
      <c r="C43" s="28"/>
      <c r="D43" s="404" t="s">
        <v>25</v>
      </c>
      <c r="E43" s="405"/>
      <c r="F43" s="8"/>
      <c r="G43" s="406" t="s">
        <v>20167</v>
      </c>
      <c r="H43" s="407"/>
      <c r="I43" s="407"/>
      <c r="J43" s="408"/>
      <c r="K43" s="29"/>
      <c r="L43" s="104"/>
      <c r="M43">
        <f t="shared" si="38"/>
        <v>0</v>
      </c>
      <c r="P43" s="299" t="str">
        <f t="shared" ref="P43:P51" si="47">IF(OR(D31="No",D31="Unknown",D31="Not declaring"),"",O31)</f>
        <v>(*)</v>
      </c>
      <c r="R43" s="2"/>
      <c r="S43" s="300" t="str">
        <f t="shared" ref="S43:S51" si="48">IF(COUNTIF(D43,"Yes"),AA13,"")</f>
        <v>Nickel</v>
      </c>
      <c r="T43" s="301" t="str">
        <f>IF(S43="",S43,IF(S42="",S42,IF(S42&gt;S43,S42,S43)))</f>
        <v>Nickel</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Copper(*)</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Nickel(*)</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Copper(*)</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Copper(*)</v>
      </c>
      <c r="C78" s="28"/>
      <c r="D78" s="404" t="s">
        <v>29</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Nickel(*)</v>
      </c>
      <c r="C79" s="28"/>
      <c r="D79" s="404" t="s">
        <v>29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Copper(*)</v>
      </c>
      <c r="C90" s="6"/>
      <c r="D90" s="404" t="s">
        <v>22</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Nickel(*)</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Copper(*)</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Nickel(*)</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20168</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Copper(*)</v>
      </c>
      <c r="C120" s="292"/>
      <c r="D120" s="404" t="s">
        <v>38</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Nickel(*)</v>
      </c>
      <c r="C121" s="292"/>
      <c r="D121" s="404" t="s">
        <v>38</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22</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E29DBC7F-4EE1-464C-8A2D-B1EAEBA8483D}"/>
    <hyperlink ref="D24" r:id="rId2" xr:uid="{D5D00268-3F91-4B49-AC76-130D7D87A74C}"/>
    <hyperlink ref="G117" r:id="rId3" xr:uid="{166D9776-4320-4779-A46E-6DDDCC8DE91E}"/>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8" activePane="bottomLeft" state="frozen"/>
      <selection activeCell="B24" sqref="B24:J24"/>
      <selection pane="bottomLeft" activeCell="E13" sqref="E13"/>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t="s">
        <v>18817</v>
      </c>
      <c r="B5" s="302" t="str">
        <f ca="1">IF(LEN(A5)=0,"",INDEX('Smelter Look-up'!$A:$A,MATCH($A5,'Smelter Look-up'!$E:$E,0)))</f>
        <v>Copper</v>
      </c>
      <c r="C5" s="151" t="str">
        <f ca="1">IF(LEN(A5)=0,"",INDEX('Smelter Look-up'!$C:$C,MATCH($A5,'Smelter Look-up'!$E:$E,0)))</f>
        <v>Toyo Smelter &amp; Refinery, Sumitomo Metal Mining</v>
      </c>
      <c r="D5" s="148"/>
      <c r="E5" s="148" t="str">
        <f ca="1">IF(ISERROR($V5),"",OFFSET('Smelter Look-up'!$D$4,$V5-4,0)&amp;"")</f>
        <v>JAPAN</v>
      </c>
      <c r="F5" s="148" t="str">
        <f ca="1">IF(ISERROR($V5),"",OFFSET('Smelter Look-up'!$E$4,$V5-4,0))</f>
        <v>CID003878</v>
      </c>
      <c r="G5" s="148" t="str">
        <f ca="1">IF(C5=$X$4,"Enter smelter details",IF(ISERROR($V5),"",OFFSET('Smelter Look-up'!$F$4,$V5-4,0)))</f>
        <v>RMI</v>
      </c>
      <c r="H5" s="204">
        <f ca="1">IF(ISERROR($V5),"",OFFSET('Smelter Look-up'!$G$4,$V5-4,0))</f>
        <v>0</v>
      </c>
      <c r="I5" s="205" t="str">
        <f ca="1">IF(ISERROR($V5),"",OFFSET('Smelter Look-up'!$H$4,$V5-4,0))</f>
        <v>Saijyo</v>
      </c>
      <c r="J5" s="205" t="str">
        <f ca="1">IF(ISERROR($V5),"",OFFSET('Smelter Look-up'!$I$4,$V5-4,0))</f>
        <v>Ehime</v>
      </c>
      <c r="K5" s="149"/>
      <c r="L5" s="149"/>
      <c r="M5" s="149"/>
      <c r="N5" s="149"/>
      <c r="O5" s="149"/>
      <c r="P5" s="207"/>
      <c r="Q5" s="150"/>
      <c r="R5" s="148" t="str">
        <f ca="1">IF(ISERROR($V5),"",OFFSET('Smelter Look-up'!$C$4,$V5-4,0)&amp;"")</f>
        <v>Toyo Smelter &amp; Refinery, Sumitomo Metal Mining</v>
      </c>
      <c r="S5" s="154" t="str">
        <f t="shared" ref="S5:S12" ca="1" si="0">IF(B5="","",IF(ISERROR(MATCH($E5,CL,0)),"Unknown",INDIRECT("'C'!$A$"&amp;MATCH($E5,CL,0)+1)))</f>
        <v>JP</v>
      </c>
      <c r="T5" s="154" t="str">
        <f ca="1">IF(B5="","",IF(ISERROR(MATCH($J5,SorP!$B$1:$B$6226,0)),"",INDIRECT("'SorP'!$A$"&amp;MATCH($S5&amp;$J5,SorP!C:C,0))))</f>
        <v>JP-38</v>
      </c>
      <c r="U5" s="167"/>
      <c r="V5" s="168">
        <f ca="1">IF(C5="",NA(),MATCH($B5&amp;$C5,'Smelter Look-up'!$J:$J,0))</f>
        <v>301</v>
      </c>
      <c r="X5" s="169">
        <f t="shared" ref="X5:X12" ca="1" si="1">IF(AND(C5="Smelter not listed",OR(LEN(D5)=0,LEN(E5)=0)),1,0)</f>
        <v>0</v>
      </c>
      <c r="AB5" s="312" t="str">
        <f t="shared" ref="AB5:AB12" ca="1" si="2">IF(C5="","",B5)</f>
        <v>Copper</v>
      </c>
      <c r="AC5" s="169" t="str">
        <f ca="1">B5</f>
        <v>Copper</v>
      </c>
      <c r="AD5" s="169" t="str">
        <f ca="1">IF(C5="Smelter not listed",D5,C5)</f>
        <v>Toyo Smelter &amp; Refinery, Sumitomo Metal Mining</v>
      </c>
    </row>
    <row r="6" spans="1:34" s="169" customFormat="1" ht="20.25">
      <c r="A6" s="196" t="s">
        <v>18925</v>
      </c>
      <c r="B6" s="302" t="str">
        <f ca="1">IF(LEN(A6)=0,"",INDEX('Smelter Look-up'!$A:$A,MATCH($A6,'Smelter Look-up'!$E:$E,0)))</f>
        <v>Nickel</v>
      </c>
      <c r="C6" s="151" t="str">
        <f ca="1">IF(LEN(A6)=0,"",INDEX('Smelter Look-up'!$C:$C,MATCH($A6,'Smelter Look-up'!$E:$E,0)))</f>
        <v>Harima Refinery, Sumitomo Metal Mining</v>
      </c>
      <c r="D6" s="148"/>
      <c r="E6" s="148" t="str">
        <f ca="1">IF(ISERROR($V6),"",OFFSET('Smelter Look-up'!$D$4,$V6-4,0)&amp;"")</f>
        <v>JAPAN</v>
      </c>
      <c r="F6" s="148" t="str">
        <f ca="1">IF(ISERROR($V6),"",OFFSET('Smelter Look-up'!$E$4,$V6-4,0))</f>
        <v>CID003882</v>
      </c>
      <c r="G6" s="148" t="str">
        <f ca="1">IF(C6=$X$4,"Enter smelter details",IF(ISERROR($V6),"",OFFSET('Smelter Look-up'!$F$4,$V6-4,0)))</f>
        <v>RMI</v>
      </c>
      <c r="H6" s="204">
        <f ca="1">IF(ISERROR($V6),"",OFFSET('Smelter Look-up'!$G$4,$V6-4,0))</f>
        <v>0</v>
      </c>
      <c r="I6" s="205" t="str">
        <f ca="1">IF(ISERROR($V6),"",OFFSET('Smelter Look-up'!$H$4,$V6-4,0))</f>
        <v>Kako-gun</v>
      </c>
      <c r="J6" s="205" t="str">
        <f ca="1">IF(ISERROR($V6),"",OFFSET('Smelter Look-up'!$I$4,$V6-4,0))</f>
        <v>Hyôgo</v>
      </c>
      <c r="K6" s="149"/>
      <c r="L6" s="149"/>
      <c r="M6" s="149"/>
      <c r="N6" s="149"/>
      <c r="O6" s="149"/>
      <c r="P6" s="207"/>
      <c r="Q6" s="150"/>
      <c r="R6" s="148" t="str">
        <f ca="1">IF(ISERROR($V6),"",OFFSET('Smelter Look-up'!$C$4,$V6-4,0)&amp;"")</f>
        <v>Harima Refinery, Sumitomo Metal Mining</v>
      </c>
      <c r="S6" s="154" t="str">
        <f t="shared" ca="1" si="0"/>
        <v>JP</v>
      </c>
      <c r="T6" s="154" t="str">
        <f ca="1">IF(B6="","",IF(ISERROR(MATCH($J6,SorP!$B$1:$B$6226,0)),"",INDIRECT("'SorP'!$A$"&amp;MATCH($S6&amp;$J6,SorP!C:C,0))))</f>
        <v>JP-28</v>
      </c>
      <c r="U6" s="167"/>
      <c r="V6" s="168">
        <f ca="1">IF(C6="",NA(),MATCH($B6&amp;$C6,'Smelter Look-up'!$J:$J,0))</f>
        <v>445</v>
      </c>
      <c r="X6" s="169">
        <f t="shared" ca="1" si="1"/>
        <v>0</v>
      </c>
      <c r="AB6" s="312" t="str">
        <f t="shared" ca="1" si="2"/>
        <v>Nickel</v>
      </c>
      <c r="AC6" s="169" t="str">
        <f t="shared" ref="AC6:AC69" ca="1" si="3">B6</f>
        <v>Nickel</v>
      </c>
      <c r="AD6" s="169" t="str">
        <f t="shared" ref="AD6:AD69" ca="1" si="4">IF(C6="Smelter not listed",D6,C6)</f>
        <v>Harima Refinery, Sumitomo Metal Mining</v>
      </c>
    </row>
    <row r="7" spans="1:34" s="169" customFormat="1" ht="20.25">
      <c r="A7" s="196" t="s">
        <v>18942</v>
      </c>
      <c r="B7" s="302" t="str">
        <f ca="1">IF(LEN(A7)=0,"",INDEX('Smelter Look-up'!$A:$A,MATCH($A7,'Smelter Look-up'!$E:$E,0)))</f>
        <v>Nickel</v>
      </c>
      <c r="C7" s="151" t="str">
        <f ca="1">IF(LEN(A7)=0,"",INDEX('Smelter Look-up'!$C:$C,MATCH($A7,'Smelter Look-up'!$E:$E,0)))</f>
        <v>Niihama Nickel Refinery, Sumitomo Metal Mining</v>
      </c>
      <c r="D7" s="148"/>
      <c r="E7" s="148" t="str">
        <f ca="1">IF(ISERROR($V7),"",OFFSET('Smelter Look-up'!$D$4,$V7-4,0)&amp;"")</f>
        <v>JAPAN</v>
      </c>
      <c r="F7" s="148" t="str">
        <f ca="1">IF(ISERROR($V7),"",OFFSET('Smelter Look-up'!$E$4,$V7-4,0))</f>
        <v>CID004055</v>
      </c>
      <c r="G7" s="148" t="str">
        <f ca="1">IF(C7=$X$4,"Enter smelter details",IF(ISERROR($V7),"",OFFSET('Smelter Look-up'!$F$4,$V7-4,0)))</f>
        <v>RMI</v>
      </c>
      <c r="H7" s="204">
        <f ca="1">IF(ISERROR($V7),"",OFFSET('Smelter Look-up'!$G$4,$V7-4,0))</f>
        <v>0</v>
      </c>
      <c r="I7" s="205" t="str">
        <f ca="1">IF(ISERROR($V7),"",OFFSET('Smelter Look-up'!$H$4,$V7-4,0))</f>
        <v>Niihama</v>
      </c>
      <c r="J7" s="205" t="str">
        <f ca="1">IF(ISERROR($V7),"",OFFSET('Smelter Look-up'!$I$4,$V7-4,0))</f>
        <v>Ehime</v>
      </c>
      <c r="K7" s="149"/>
      <c r="L7" s="149"/>
      <c r="M7" s="149"/>
      <c r="N7" s="149"/>
      <c r="O7" s="149"/>
      <c r="P7" s="207"/>
      <c r="Q7" s="150"/>
      <c r="R7" s="148" t="str">
        <f ca="1">IF(ISERROR($V7),"",OFFSET('Smelter Look-up'!$C$4,$V7-4,0)&amp;"")</f>
        <v>Niihama Nickel Refinery, Sumitomo Metal Mining</v>
      </c>
      <c r="S7" s="154" t="str">
        <f t="shared" ca="1" si="0"/>
        <v>JP</v>
      </c>
      <c r="T7" s="154" t="str">
        <f ca="1">IF(B7="","",IF(ISERROR(MATCH($J7,SorP!$B$1:$B$6226,0)),"",INDIRECT("'SorP'!$A$"&amp;MATCH($S7&amp;$J7,SorP!C:C,0))))</f>
        <v>JP-38</v>
      </c>
      <c r="U7" s="167"/>
      <c r="V7" s="168">
        <f ca="1">IF(C7="",NA(),MATCH($B7&amp;$C7,'Smelter Look-up'!$J:$J,0))</f>
        <v>471</v>
      </c>
      <c r="X7" s="169">
        <f t="shared" ca="1" si="1"/>
        <v>0</v>
      </c>
      <c r="AB7" s="312" t="str">
        <f t="shared" ca="1" si="2"/>
        <v>Nickel</v>
      </c>
      <c r="AC7" s="169" t="str">
        <f t="shared" ca="1" si="3"/>
        <v>Nickel</v>
      </c>
      <c r="AD7" s="169" t="str">
        <f t="shared" ca="1" si="4"/>
        <v>Niihama Nickel Refinery, Sumitomo Metal Mining</v>
      </c>
    </row>
    <row r="8" spans="1:34" s="169" customFormat="1" ht="20.25">
      <c r="A8" s="196" t="s">
        <v>18746</v>
      </c>
      <c r="B8" s="302" t="str">
        <f ca="1">IF(LEN(A8)=0,"",INDEX('Smelter Look-up'!$A:$A,MATCH($A8,'Smelter Look-up'!$E:$E,0)))</f>
        <v>Copper</v>
      </c>
      <c r="C8" s="151" t="str">
        <f ca="1">IF(LEN(A8)=0,"",INDEX('Smelter Look-up'!$C:$C,MATCH($A8,'Smelter Look-up'!$E:$E,0)))</f>
        <v>JX Nippon Mining &amp; Metals Co., Ltd. Hitachi</v>
      </c>
      <c r="D8" s="148"/>
      <c r="E8" s="148" t="str">
        <f ca="1">IF(ISERROR($V8),"",OFFSET('Smelter Look-up'!$D$4,$V8-4,0)&amp;"")</f>
        <v>JAPAN</v>
      </c>
      <c r="F8" s="148" t="str">
        <f ca="1">IF(ISERROR($V8),"",OFFSET('Smelter Look-up'!$E$4,$V8-4,0))</f>
        <v>CID003996</v>
      </c>
      <c r="G8" s="148" t="str">
        <f ca="1">IF(C8=$X$4,"Enter smelter details",IF(ISERROR($V8),"",OFFSET('Smelter Look-up'!$F$4,$V8-4,0)))</f>
        <v>RMI</v>
      </c>
      <c r="H8" s="204">
        <f ca="1">IF(ISERROR($V8),"",OFFSET('Smelter Look-up'!$G$4,$V8-4,0))</f>
        <v>0</v>
      </c>
      <c r="I8" s="205" t="str">
        <f ca="1">IF(ISERROR($V8),"",OFFSET('Smelter Look-up'!$H$4,$V8-4,0))</f>
        <v>Hitachi-shi</v>
      </c>
      <c r="J8" s="205" t="str">
        <f ca="1">IF(ISERROR($V8),"",OFFSET('Smelter Look-up'!$I$4,$V8-4,0))</f>
        <v>Ibaraki</v>
      </c>
      <c r="K8" s="149"/>
      <c r="L8" s="149"/>
      <c r="M8" s="149"/>
      <c r="N8" s="149"/>
      <c r="O8" s="149"/>
      <c r="P8" s="207"/>
      <c r="Q8" s="150"/>
      <c r="R8" s="148" t="str">
        <f ca="1">IF(ISERROR($V8),"",OFFSET('Smelter Look-up'!$C$4,$V8-4,0)&amp;"")</f>
        <v>JX Nippon Mining &amp; Metals Co., Ltd. Hitachi</v>
      </c>
      <c r="S8" s="154" t="str">
        <f t="shared" ca="1" si="0"/>
        <v>JP</v>
      </c>
      <c r="T8" s="154" t="str">
        <f ca="1">IF(B8="","",IF(ISERROR(MATCH($J8,SorP!$B$1:$B$6226,0)),"",INDIRECT("'SorP'!$A$"&amp;MATCH($S8&amp;$J8,SorP!C:C,0))))</f>
        <v>JP-08</v>
      </c>
      <c r="U8" s="167"/>
      <c r="V8" s="168">
        <f ca="1">IF(C8="",NA(),MATCH($B8&amp;$C8,'Smelter Look-up'!$J:$J,0))</f>
        <v>233</v>
      </c>
      <c r="X8" s="169">
        <f t="shared" ca="1" si="1"/>
        <v>0</v>
      </c>
      <c r="AB8" s="312" t="str">
        <f t="shared" ca="1" si="2"/>
        <v>Copper</v>
      </c>
      <c r="AC8" s="169" t="str">
        <f t="shared" ca="1" si="3"/>
        <v>Copper</v>
      </c>
      <c r="AD8" s="169" t="str">
        <f t="shared" ca="1" si="4"/>
        <v>JX Nippon Mining &amp; Metals Co., Ltd. Hitachi</v>
      </c>
    </row>
    <row r="9" spans="1:34" s="169" customFormat="1" ht="38.25">
      <c r="A9" s="196"/>
      <c r="B9" s="302" t="s">
        <v>18684</v>
      </c>
      <c r="C9" s="151" t="s">
        <v>298</v>
      </c>
      <c r="D9" s="148" t="s">
        <v>20169</v>
      </c>
      <c r="E9" s="148" t="s">
        <v>133</v>
      </c>
      <c r="F9" s="148">
        <f ca="1">IF(ISERROR($V9),"",OFFSET('Smelter Look-up'!$E$4,$V9-4,0))</f>
        <v>0</v>
      </c>
      <c r="G9" s="148" t="str">
        <f ca="1">IF(C9=$X$4,"Enter smelter details",IF(ISERROR($V9),"",OFFSET('Smelter Look-up'!$F$4,$V9-4,0)))</f>
        <v>Enter smelter details</v>
      </c>
      <c r="H9" s="204">
        <f ca="1">IF(ISERROR($V9),"",OFFSET('Smelter Look-up'!$G$4,$V9-4,0))</f>
        <v>0</v>
      </c>
      <c r="I9" s="205">
        <f ca="1">IF(ISERROR($V9),"",OFFSET('Smelter Look-up'!$H$4,$V9-4,0))</f>
        <v>0</v>
      </c>
      <c r="J9" s="205">
        <f ca="1">IF(ISERROR($V9),"",OFFSET('Smelter Look-up'!$I$4,$V9-4,0))</f>
        <v>0</v>
      </c>
      <c r="K9" s="149"/>
      <c r="L9" s="149"/>
      <c r="M9" s="149"/>
      <c r="N9" s="149"/>
      <c r="O9" s="149"/>
      <c r="P9" s="207"/>
      <c r="Q9" s="150"/>
      <c r="R9" s="148" t="str">
        <f ca="1">IF(ISERROR($V9),"",OFFSET('Smelter Look-up'!$C$4,$V9-4,0)&amp;"")</f>
        <v/>
      </c>
      <c r="S9" s="154" t="str">
        <f t="shared" ca="1" si="0"/>
        <v>JP</v>
      </c>
      <c r="T9" s="154" t="str">
        <f ca="1">IF(B9="","",IF(ISERROR(MATCH($J9,SorP!$B$1:$B$6226,0)),"",INDIRECT("'SorP'!$A$"&amp;MATCH($S9&amp;$J9,SorP!C:C,0))))</f>
        <v/>
      </c>
      <c r="U9" s="167"/>
      <c r="V9" s="168">
        <f>IF(C9="",NA(),MATCH($B9&amp;$C9,'Smelter Look-up'!$J:$J,0))</f>
        <v>314</v>
      </c>
      <c r="X9" s="169">
        <f t="shared" si="1"/>
        <v>0</v>
      </c>
      <c r="AB9" s="312" t="str">
        <f t="shared" si="2"/>
        <v>Copper</v>
      </c>
      <c r="AC9" s="169" t="str">
        <f t="shared" si="3"/>
        <v>Copper</v>
      </c>
      <c r="AD9" s="169" t="str">
        <f t="shared" si="4"/>
        <v>Mitsubishi Materials Corporation Metal Company</v>
      </c>
    </row>
    <row r="10" spans="1:34" s="169" customFormat="1" ht="25.5">
      <c r="A10" s="196"/>
      <c r="B10" s="302" t="s">
        <v>18685</v>
      </c>
      <c r="C10" s="151" t="s">
        <v>298</v>
      </c>
      <c r="D10" s="148" t="s">
        <v>20170</v>
      </c>
      <c r="E10" s="148" t="s">
        <v>65</v>
      </c>
      <c r="F10" s="148">
        <f ca="1">IF(ISERROR($V10),"",OFFSET('Smelter Look-up'!$E$4,$V10-4,0))</f>
        <v>0</v>
      </c>
      <c r="G10" s="148" t="str">
        <f ca="1">IF(C10=$X$4,"Enter smelter details",IF(ISERROR($V10),"",OFFSET('Smelter Look-up'!$F$4,$V10-4,0)))</f>
        <v>Enter smelter details</v>
      </c>
      <c r="H10" s="204">
        <f ca="1">IF(ISERROR($V10),"",OFFSET('Smelter Look-up'!$G$4,$V10-4,0))</f>
        <v>0</v>
      </c>
      <c r="I10" s="205">
        <f ca="1">IF(ISERROR($V10),"",OFFSET('Smelter Look-up'!$H$4,$V10-4,0))</f>
        <v>0</v>
      </c>
      <c r="J10" s="205">
        <f ca="1">IF(ISERROR($V10),"",OFFSET('Smelter Look-up'!$I$4,$V10-4,0))</f>
        <v>0</v>
      </c>
      <c r="K10" s="149"/>
      <c r="L10" s="149"/>
      <c r="M10" s="149"/>
      <c r="N10" s="149"/>
      <c r="O10" s="149"/>
      <c r="P10" s="207"/>
      <c r="Q10" s="150"/>
      <c r="R10" s="148" t="str">
        <f ca="1">IF(ISERROR($V10),"",OFFSET('Smelter Look-up'!$C$4,$V10-4,0)&amp;"")</f>
        <v/>
      </c>
      <c r="S10" s="154" t="str">
        <f t="shared" ca="1" si="0"/>
        <v>CN</v>
      </c>
      <c r="T10" s="154" t="str">
        <f ca="1">IF(B10="","",IF(ISERROR(MATCH($J10,SorP!$B$1:$B$6226,0)),"",INDIRECT("'SorP'!$A$"&amp;MATCH($S10&amp;$J10,SorP!C:C,0))))</f>
        <v/>
      </c>
      <c r="U10" s="167"/>
      <c r="V10" s="168">
        <f>IF(C10="",NA(),MATCH($B10&amp;$C10,'Smelter Look-up'!$J:$J,0))</f>
        <v>494</v>
      </c>
      <c r="X10" s="169">
        <f t="shared" si="1"/>
        <v>0</v>
      </c>
      <c r="AB10" s="312" t="str">
        <f t="shared" si="2"/>
        <v>Nickel</v>
      </c>
      <c r="AC10" s="169" t="str">
        <f t="shared" si="3"/>
        <v>Nickel</v>
      </c>
      <c r="AD10" s="169" t="str">
        <f t="shared" si="4"/>
        <v>Linyi Jinsheng Copper Industry Co., Ltd</v>
      </c>
    </row>
    <row r="11" spans="1:34" s="169" customFormat="1" ht="25.5">
      <c r="A11" s="197"/>
      <c r="B11" s="302" t="s">
        <v>18684</v>
      </c>
      <c r="C11" s="151" t="s">
        <v>298</v>
      </c>
      <c r="D11" s="148" t="s">
        <v>20171</v>
      </c>
      <c r="E11" s="148" t="s">
        <v>65</v>
      </c>
      <c r="F11" s="148">
        <f ca="1">IF(ISERROR($V11),"",OFFSET('Smelter Look-up'!$E$4,$V11-4,0))</f>
        <v>0</v>
      </c>
      <c r="G11" s="148" t="str">
        <f ca="1">IF(C11=$X$4,"Enter smelter details",IF(ISERROR($V11),"",OFFSET('Smelter Look-up'!$F$4,$V11-4,0)))</f>
        <v>Enter smelter details</v>
      </c>
      <c r="H11" s="204">
        <f ca="1">IF(ISERROR($V11),"",OFFSET('Smelter Look-up'!$G$4,$V11-4,0))</f>
        <v>0</v>
      </c>
      <c r="I11" s="205">
        <f ca="1">IF(ISERROR($V11),"",OFFSET('Smelter Look-up'!$H$4,$V11-4,0))</f>
        <v>0</v>
      </c>
      <c r="J11" s="205">
        <f ca="1">IF(ISERROR($V11),"",OFFSET('Smelter Look-up'!$I$4,$V11-4,0))</f>
        <v>0</v>
      </c>
      <c r="K11" s="149"/>
      <c r="L11" s="149"/>
      <c r="M11" s="149"/>
      <c r="N11" s="149"/>
      <c r="O11" s="149"/>
      <c r="P11" s="207"/>
      <c r="Q11" s="150"/>
      <c r="R11" s="148" t="str">
        <f ca="1">IF(ISERROR($V11),"",OFFSET('Smelter Look-up'!$C$4,$V11-4,0)&amp;"")</f>
        <v/>
      </c>
      <c r="S11" s="154" t="str">
        <f t="shared" ca="1" si="0"/>
        <v>CN</v>
      </c>
      <c r="T11" s="154" t="str">
        <f ca="1">IF(B11="","",IF(ISERROR(MATCH($J11,SorP!$B$1:$B$6226,0)),"",INDIRECT("'SorP'!$A$"&amp;MATCH($S11&amp;$J11,SorP!C:C,0))))</f>
        <v/>
      </c>
      <c r="U11" s="167"/>
      <c r="V11" s="168">
        <f>IF(C11="",NA(),MATCH($B11&amp;$C11,'Smelter Look-up'!$J:$J,0))</f>
        <v>314</v>
      </c>
      <c r="X11" s="169">
        <f t="shared" si="1"/>
        <v>0</v>
      </c>
      <c r="AB11" s="312" t="str">
        <f t="shared" si="2"/>
        <v>Copper</v>
      </c>
      <c r="AC11" s="169" t="str">
        <f t="shared" si="3"/>
        <v>Copper</v>
      </c>
      <c r="AD11" s="169" t="str">
        <f t="shared" si="4"/>
        <v>Jinchuan Group Nickel Cobalt Co., Ltd</v>
      </c>
    </row>
    <row r="12" spans="1:34" s="169" customFormat="1" ht="25.5">
      <c r="A12" s="196"/>
      <c r="B12" s="302" t="s">
        <v>18684</v>
      </c>
      <c r="C12" s="151" t="s">
        <v>298</v>
      </c>
      <c r="D12" s="148" t="s">
        <v>20172</v>
      </c>
      <c r="E12" s="148" t="s">
        <v>1428</v>
      </c>
      <c r="F12" s="148" t="s">
        <v>20173</v>
      </c>
      <c r="G12" s="148" t="s">
        <v>20174</v>
      </c>
      <c r="H12" s="204" t="s">
        <v>20175</v>
      </c>
      <c r="I12" s="205" t="s">
        <v>19303</v>
      </c>
      <c r="J12" s="205" t="s">
        <v>20176</v>
      </c>
      <c r="K12" s="149"/>
      <c r="L12" s="149"/>
      <c r="M12" s="149"/>
      <c r="N12" s="149"/>
      <c r="O12" s="149"/>
      <c r="P12" s="207"/>
      <c r="Q12" s="150"/>
      <c r="R12" s="148" t="str">
        <f ca="1">IF(ISERROR($V12),"",OFFSET('Smelter Look-up'!$C$4,$V12-4,0)&amp;"")</f>
        <v/>
      </c>
      <c r="S12" s="154" t="str">
        <f t="shared" ca="1" si="0"/>
        <v>CL</v>
      </c>
      <c r="T12" s="154" t="str">
        <f ca="1">IF(B12="","",IF(ISERROR(MATCH($J12,SorP!$B$1:$B$6226,0)),"",INDIRECT("'SorP'!$A$"&amp;MATCH($S12&amp;$J12,SorP!C:C,0))))</f>
        <v/>
      </c>
      <c r="U12" s="167"/>
      <c r="V12" s="168">
        <f>IF(C12="",NA(),MATCH($B12&amp;$C12,'Smelter Look-up'!$J:$J,0))</f>
        <v>314</v>
      </c>
      <c r="X12" s="169">
        <f t="shared" si="1"/>
        <v>0</v>
      </c>
      <c r="AB12" s="312" t="str">
        <f t="shared" si="2"/>
        <v>Copper</v>
      </c>
      <c r="AC12" s="169" t="str">
        <f t="shared" si="3"/>
        <v>Copper</v>
      </c>
      <c r="AD12" s="169" t="str">
        <f t="shared" si="4"/>
        <v>Empresa Nacional de Mineria</v>
      </c>
    </row>
    <row r="13" spans="1:34" s="169" customFormat="1" ht="25.5">
      <c r="A13" s="196"/>
      <c r="B13" s="302" t="s">
        <v>18684</v>
      </c>
      <c r="C13" s="151" t="s">
        <v>298</v>
      </c>
      <c r="D13" s="148" t="s">
        <v>20177</v>
      </c>
      <c r="E13" s="148" t="s">
        <v>1679</v>
      </c>
      <c r="F13" s="148">
        <f ca="1">IF(ISERROR($V13),"",OFFSET('Smelter Look-up'!$E$4,$V13-4,0))</f>
        <v>0</v>
      </c>
      <c r="G13" s="148" t="str">
        <f ca="1">IF(C13=$X$4,"Enter smelter details",IF(ISERROR($V13),"",OFFSET('Smelter Look-up'!$F$4,$V13-4,0)))</f>
        <v>Enter smelter details</v>
      </c>
      <c r="H13" s="204">
        <f ca="1">IF(ISERROR($V13),"",OFFSET('Smelter Look-up'!$G$4,$V13-4,0))</f>
        <v>0</v>
      </c>
      <c r="I13" s="205">
        <f ca="1">IF(ISERROR($V13),"",OFFSET('Smelter Look-up'!$H$4,$V13-4,0))</f>
        <v>0</v>
      </c>
      <c r="J13" s="205">
        <f ca="1">IF(ISERROR($V13),"",OFFSET('Smelter Look-up'!$I$4,$V13-4,0))</f>
        <v>0</v>
      </c>
      <c r="K13" s="149"/>
      <c r="L13" s="149"/>
      <c r="M13" s="149"/>
      <c r="N13" s="149"/>
      <c r="O13" s="149"/>
      <c r="P13" s="207"/>
      <c r="Q13" s="150"/>
      <c r="R13" s="148" t="str">
        <f ca="1">IF(ISERROR($V13),"",OFFSET('Smelter Look-up'!$C$4,$V13-4,0)&amp;"")</f>
        <v/>
      </c>
      <c r="S13" s="154" t="str">
        <f t="shared" ref="S13:S63" ca="1" si="5">IF(B13="","",IF(ISERROR(MATCH($E13,CL,0)),"Unknown",INDIRECT("'C'!$A$"&amp;MATCH($E13,CL,0)+1)))</f>
        <v>PH</v>
      </c>
      <c r="T13" s="154" t="str">
        <f ca="1">IF(B13="","",IF(ISERROR(MATCH($J13,SorP!$B$1:$B$6226,0)),"",INDIRECT("'SorP'!$A$"&amp;MATCH($S13&amp;$J13,SorP!C:C,0))))</f>
        <v/>
      </c>
      <c r="U13" s="167"/>
      <c r="V13" s="168">
        <f>IF(C13="",NA(),MATCH($B13&amp;$C13,'Smelter Look-up'!$J:$J,0))</f>
        <v>314</v>
      </c>
      <c r="X13" s="169">
        <f t="shared" ref="X13:X62" si="6">IF(AND(C13="Smelter not listed",OR(LEN(D13)=0,LEN(E13)=0)),1,0)</f>
        <v>0</v>
      </c>
      <c r="AB13" s="312" t="str">
        <f t="shared" ref="AB13:AB69" si="7">IF(C13="","",B13)</f>
        <v>Copper</v>
      </c>
      <c r="AC13" s="169" t="str">
        <f t="shared" si="3"/>
        <v>Copper</v>
      </c>
      <c r="AD13" s="169" t="str">
        <f t="shared" si="4"/>
        <v>PASAR</v>
      </c>
    </row>
    <row r="14" spans="1:34" s="169" customFormat="1" ht="21.75" customHeight="1">
      <c r="A14" s="197" t="s">
        <v>18789</v>
      </c>
      <c r="B14" s="302" t="s">
        <v>18684</v>
      </c>
      <c r="C14" s="151" t="s">
        <v>18788</v>
      </c>
      <c r="D14" s="148"/>
      <c r="E14" s="148" t="str">
        <f ca="1">IF(ISERROR($V14),"",OFFSET('Smelter Look-up'!$D$4,$V14-4,0)&amp;"")</f>
        <v>AUSTRALIA</v>
      </c>
      <c r="F14" s="148" t="str">
        <f ca="1">IF(ISERROR($V14),"",OFFSET('Smelter Look-up'!$E$4,$V14-4,0))</f>
        <v>CID004429</v>
      </c>
      <c r="G14" s="148" t="str">
        <f ca="1">IF(C14=$X$4,"Enter smelter details",IF(ISERROR($V14),"",OFFSET('Smelter Look-up'!$F$4,$V14-4,0)))</f>
        <v>RMI</v>
      </c>
      <c r="H14" s="204">
        <f ca="1">IF(ISERROR($V14),"",OFFSET('Smelter Look-up'!$G$4,$V14-4,0))</f>
        <v>0</v>
      </c>
      <c r="I14" s="205" t="str">
        <f ca="1">IF(ISERROR($V14),"",OFFSET('Smelter Look-up'!$H$4,$V14-4,0))</f>
        <v>Stuart</v>
      </c>
      <c r="J14" s="205" t="str">
        <f ca="1">IF(ISERROR($V14),"",OFFSET('Smelter Look-up'!$I$4,$V14-4,0))</f>
        <v>Queensland</v>
      </c>
      <c r="K14" s="149"/>
      <c r="L14" s="149"/>
      <c r="M14" s="149"/>
      <c r="N14" s="149"/>
      <c r="O14" s="149"/>
      <c r="P14" s="207"/>
      <c r="Q14" s="150"/>
      <c r="R14" s="148" t="str">
        <f ca="1">IF(ISERROR($V14),"",OFFSET('Smelter Look-up'!$C$4,$V14-4,0)&amp;"")</f>
        <v>Mount Isa Mines Limited - Copper Refineries Pty Ltd (CRL)</v>
      </c>
      <c r="S14" s="154" t="str">
        <f t="shared" ca="1" si="5"/>
        <v>AU</v>
      </c>
      <c r="T14" s="154" t="str">
        <f ca="1">IF(B14="","",IF(ISERROR(MATCH($J14,SorP!$B$1:$B$6226,0)),"",INDIRECT("'SorP'!$A$"&amp;MATCH($S14&amp;$J14,SorP!C:C,0))))</f>
        <v>AU-QLD</v>
      </c>
      <c r="U14" s="167"/>
      <c r="V14" s="168">
        <f>IF(C14="",NA(),MATCH($B14&amp;$C14,'Smelter Look-up'!$J:$J,0))</f>
        <v>270</v>
      </c>
      <c r="X14" s="169">
        <f t="shared" ca="1" si="6"/>
        <v>0</v>
      </c>
      <c r="AB14" s="312" t="str">
        <f t="shared" si="7"/>
        <v>Copper</v>
      </c>
      <c r="AC14" s="169" t="str">
        <f t="shared" si="3"/>
        <v>Copper</v>
      </c>
      <c r="AD14" s="169" t="str">
        <f t="shared" si="4"/>
        <v>Mount Isa Mines Limited - Copper Refineries Pty Ltd (Glencore)</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iMaXX Companies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Gerben Huizenga</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compliance@imaxx.nl</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(+31) 078 69 111 71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Gerben Huizenga</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gerben.huizenga@imaxx.nl</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45961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Nickel(*)</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Copper(*)</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Nickel(*)</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Copper(*)</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Nickel(*)</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Copper(*)</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Nickel(*)</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Copper(*)</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Nickel(*)</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https://imaxx.nl/documents/code-of-conduct/</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Yes, when more processors are validated</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Yes, when more processors are validated</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No</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Copper</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Nickel</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0</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ca="1" si="51"/>
        <v/>
      </c>
      <c r="E117" s="16"/>
      <c r="F117" s="83">
        <f t="shared" si="52"/>
        <v>0</v>
      </c>
      <c r="G117" s="61">
        <f ca="1">IF(AND(COUNTIF(SmelterIdetifiedForMetal,A117)&gt;0,COUNTIF('Smelter List'!AB$5:AB$2504,A117)&gt;0),0,1)</f>
        <v>0</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ca="1" si="51"/>
        <v/>
      </c>
      <c r="E118" s="16"/>
      <c r="F118" s="83">
        <f t="shared" si="52"/>
        <v>0</v>
      </c>
      <c r="G118" s="61">
        <f ca="1">IF(AND(COUNTIF(SmelterIdetifiedForMetal,A118)&gt;0,COUNTIF('Smelter List'!AB$5:AB$2504,A118)&gt;0),0,1)</f>
        <v>0</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ca="1" si="51"/>
        <v/>
      </c>
      <c r="E119" s="16"/>
      <c r="F119" s="83">
        <f t="shared" si="52"/>
        <v>0</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Gerben Huizenga  |  iMaXX Companies</cp:lastModifiedBy>
  <cp:revision/>
  <dcterms:created xsi:type="dcterms:W3CDTF">2010-06-21T21:00:23Z</dcterms:created>
  <dcterms:modified xsi:type="dcterms:W3CDTF">2025-10-30T13:20:29Z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